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anb\Desktop\"/>
    </mc:Choice>
  </mc:AlternateContent>
  <bookViews>
    <workbookView xWindow="0" yWindow="0" windowWidth="25200" windowHeight="11685" firstSheet="2" activeTab="6"/>
  </bookViews>
  <sheets>
    <sheet name="Input - Balance Sheet" sheetId="9" r:id="rId1"/>
    <sheet name="Input - Income Statement" sheetId="2" r:id="rId2"/>
    <sheet name="Input - etc" sheetId="3" r:id="rId3"/>
    <sheet name="Output - Analysis" sheetId="4" r:id="rId4"/>
    <sheet name="WACC" sheetId="5" r:id="rId5"/>
    <sheet name="Valuation Forecast" sheetId="6" r:id="rId6"/>
    <sheet name="Sensitivity Analysis" sheetId="8" r:id="rId7"/>
  </sheets>
  <definedNames>
    <definedName name="g">'Valuation Forecast'!$I$5</definedName>
    <definedName name="WACC">'Valuation Forecast'!$D$13</definedName>
  </definedNames>
  <calcPr calcId="152511"/>
</workbook>
</file>

<file path=xl/calcChain.xml><?xml version="1.0" encoding="utf-8"?>
<calcChain xmlns="http://schemas.openxmlformats.org/spreadsheetml/2006/main">
  <c r="D13" i="6" l="1"/>
  <c r="D7" i="6"/>
  <c r="E33" i="5" l="1"/>
  <c r="E32" i="5"/>
  <c r="E31" i="5"/>
  <c r="E30" i="5"/>
  <c r="E29" i="5"/>
  <c r="E28" i="5"/>
  <c r="E27" i="5"/>
  <c r="E26" i="5"/>
  <c r="E25" i="5"/>
  <c r="K53" i="9" l="1"/>
  <c r="K52" i="9"/>
  <c r="K51" i="9"/>
  <c r="K50" i="9"/>
  <c r="K49" i="9"/>
  <c r="K48" i="9"/>
  <c r="K47" i="9"/>
  <c r="K43" i="9"/>
  <c r="K42" i="9"/>
  <c r="K41" i="9"/>
  <c r="K40" i="9"/>
  <c r="K39" i="9"/>
  <c r="K38" i="9"/>
  <c r="K37" i="9"/>
  <c r="K21" i="9"/>
  <c r="K22" i="9"/>
  <c r="K23" i="9"/>
  <c r="K24" i="9"/>
  <c r="K25" i="9"/>
  <c r="K26" i="9"/>
  <c r="K20" i="9"/>
  <c r="K11" i="9"/>
  <c r="K12" i="9"/>
  <c r="K13" i="9"/>
  <c r="K14" i="9"/>
  <c r="K15" i="9"/>
  <c r="K16" i="9"/>
  <c r="K10" i="9"/>
  <c r="T17" i="8" l="1"/>
  <c r="C46" i="8" s="1"/>
  <c r="S17" i="8"/>
  <c r="R17" i="8"/>
  <c r="C36" i="8" s="1"/>
  <c r="Q17" i="8"/>
  <c r="C31" i="8" s="1"/>
  <c r="P17" i="8"/>
  <c r="L17" i="8"/>
  <c r="K17" i="8"/>
  <c r="C66" i="8" s="1"/>
  <c r="J17" i="8"/>
  <c r="C61" i="8" s="1"/>
  <c r="I17" i="8"/>
  <c r="H17" i="8"/>
  <c r="T16" i="8"/>
  <c r="C45" i="8" s="1"/>
  <c r="S16" i="8"/>
  <c r="C40" i="8" s="1"/>
  <c r="R16" i="8"/>
  <c r="C35" i="8" s="1"/>
  <c r="Q16" i="8"/>
  <c r="C30" i="8" s="1"/>
  <c r="P16" i="8"/>
  <c r="C25" i="8" s="1"/>
  <c r="L16" i="8"/>
  <c r="C70" i="8" s="1"/>
  <c r="K16" i="8"/>
  <c r="J16" i="8"/>
  <c r="C60" i="8" s="1"/>
  <c r="I16" i="8"/>
  <c r="C55" i="8" s="1"/>
  <c r="H16" i="8"/>
  <c r="C50" i="8" s="1"/>
  <c r="T15" i="8"/>
  <c r="C44" i="8" s="1"/>
  <c r="S15" i="8"/>
  <c r="C39" i="8" s="1"/>
  <c r="R15" i="8"/>
  <c r="C34" i="8" s="1"/>
  <c r="Q15" i="8"/>
  <c r="C29" i="8" s="1"/>
  <c r="P15" i="8"/>
  <c r="C24" i="8" s="1"/>
  <c r="L15" i="8"/>
  <c r="K15" i="8"/>
  <c r="C64" i="8" s="1"/>
  <c r="J15" i="8"/>
  <c r="C59" i="8" s="1"/>
  <c r="I15" i="8"/>
  <c r="C54" i="8" s="1"/>
  <c r="H15" i="8"/>
  <c r="C49" i="8" s="1"/>
  <c r="T14" i="8"/>
  <c r="C43" i="8" s="1"/>
  <c r="S14" i="8"/>
  <c r="C38" i="8" s="1"/>
  <c r="R14" i="8"/>
  <c r="C33" i="8" s="1"/>
  <c r="Q14" i="8"/>
  <c r="C28" i="8" s="1"/>
  <c r="P14" i="8"/>
  <c r="C23" i="8" s="1"/>
  <c r="L14" i="8"/>
  <c r="C68" i="8" s="1"/>
  <c r="K14" i="8"/>
  <c r="C63" i="8" s="1"/>
  <c r="J14" i="8"/>
  <c r="C58" i="8" s="1"/>
  <c r="I14" i="8"/>
  <c r="C53" i="8" s="1"/>
  <c r="H14" i="8"/>
  <c r="C48" i="8" s="1"/>
  <c r="T13" i="8"/>
  <c r="C42" i="8" s="1"/>
  <c r="S13" i="8"/>
  <c r="C37" i="8" s="1"/>
  <c r="R13" i="8"/>
  <c r="C32" i="8" s="1"/>
  <c r="Q13" i="8"/>
  <c r="C27" i="8" s="1"/>
  <c r="P13" i="8"/>
  <c r="C22" i="8" s="1"/>
  <c r="L13" i="8"/>
  <c r="C67" i="8" s="1"/>
  <c r="K13" i="8"/>
  <c r="C62" i="8" s="1"/>
  <c r="J13" i="8"/>
  <c r="C57" i="8" s="1"/>
  <c r="I13" i="8"/>
  <c r="C52" i="8" s="1"/>
  <c r="H13" i="8"/>
  <c r="C47" i="8" s="1"/>
  <c r="L12" i="8"/>
  <c r="K12" i="8"/>
  <c r="J12" i="8"/>
  <c r="I12" i="8"/>
  <c r="H12" i="8"/>
  <c r="J11" i="8"/>
  <c r="T8" i="8"/>
  <c r="C101" i="8" s="1"/>
  <c r="S8" i="8"/>
  <c r="C106" i="8" s="1"/>
  <c r="R8" i="8"/>
  <c r="C111" i="8" s="1"/>
  <c r="Q8" i="8"/>
  <c r="C116" i="8" s="1"/>
  <c r="P8" i="8"/>
  <c r="C121" i="8" s="1"/>
  <c r="O8" i="8"/>
  <c r="L8" i="8"/>
  <c r="C76" i="8" s="1"/>
  <c r="K8" i="8"/>
  <c r="C81" i="8" s="1"/>
  <c r="J8" i="8"/>
  <c r="C86" i="8" s="1"/>
  <c r="I8" i="8"/>
  <c r="C91" i="8" s="1"/>
  <c r="H8" i="8"/>
  <c r="C96" i="8" s="1"/>
  <c r="G8" i="8"/>
  <c r="T7" i="8"/>
  <c r="C100" i="8" s="1"/>
  <c r="S7" i="8"/>
  <c r="C105" i="8" s="1"/>
  <c r="R7" i="8"/>
  <c r="C110" i="8" s="1"/>
  <c r="Q7" i="8"/>
  <c r="C115" i="8" s="1"/>
  <c r="P7" i="8"/>
  <c r="C120" i="8" s="1"/>
  <c r="O7" i="8"/>
  <c r="L7" i="8"/>
  <c r="C75" i="8" s="1"/>
  <c r="K7" i="8"/>
  <c r="C80" i="8" s="1"/>
  <c r="J7" i="8"/>
  <c r="C85" i="8" s="1"/>
  <c r="I7" i="8"/>
  <c r="C90" i="8" s="1"/>
  <c r="H7" i="8"/>
  <c r="C95" i="8" s="1"/>
  <c r="G7" i="8"/>
  <c r="T6" i="8"/>
  <c r="C99" i="8" s="1"/>
  <c r="S6" i="8"/>
  <c r="C104" i="8" s="1"/>
  <c r="R6" i="8"/>
  <c r="C109" i="8" s="1"/>
  <c r="Q6" i="8"/>
  <c r="C114" i="8" s="1"/>
  <c r="P6" i="8"/>
  <c r="C119" i="8" s="1"/>
  <c r="O6" i="8"/>
  <c r="N6" i="8"/>
  <c r="L6" i="8"/>
  <c r="C74" i="8" s="1"/>
  <c r="K6" i="8"/>
  <c r="C79" i="8" s="1"/>
  <c r="J6" i="8"/>
  <c r="C84" i="8" s="1"/>
  <c r="I6" i="8"/>
  <c r="C89" i="8" s="1"/>
  <c r="H6" i="8"/>
  <c r="C94" i="8" s="1"/>
  <c r="G6" i="8"/>
  <c r="F6" i="8"/>
  <c r="T5" i="8"/>
  <c r="C98" i="8" s="1"/>
  <c r="S5" i="8"/>
  <c r="C103" i="8" s="1"/>
  <c r="R5" i="8"/>
  <c r="C108" i="8" s="1"/>
  <c r="Q5" i="8"/>
  <c r="C113" i="8" s="1"/>
  <c r="P5" i="8"/>
  <c r="C118" i="8" s="1"/>
  <c r="O5" i="8"/>
  <c r="L5" i="8"/>
  <c r="C73" i="8" s="1"/>
  <c r="K5" i="8"/>
  <c r="C78" i="8" s="1"/>
  <c r="J5" i="8"/>
  <c r="C83" i="8" s="1"/>
  <c r="I5" i="8"/>
  <c r="C88" i="8" s="1"/>
  <c r="H5" i="8"/>
  <c r="C93" i="8" s="1"/>
  <c r="G5" i="8"/>
  <c r="T4" i="8"/>
  <c r="C97" i="8" s="1"/>
  <c r="S4" i="8"/>
  <c r="C102" i="8" s="1"/>
  <c r="R4" i="8"/>
  <c r="C107" i="8" s="1"/>
  <c r="Q4" i="8"/>
  <c r="C112" i="8" s="1"/>
  <c r="P4" i="8"/>
  <c r="C117" i="8" s="1"/>
  <c r="O4" i="8"/>
  <c r="L4" i="8"/>
  <c r="C72" i="8" s="1"/>
  <c r="K4" i="8"/>
  <c r="C77" i="8" s="1"/>
  <c r="J4" i="8"/>
  <c r="C82" i="8" s="1"/>
  <c r="I4" i="8"/>
  <c r="C87" i="8" s="1"/>
  <c r="H4" i="8"/>
  <c r="C92" i="8" s="1"/>
  <c r="G4" i="8"/>
  <c r="T3" i="8"/>
  <c r="S3" i="8"/>
  <c r="R3" i="8"/>
  <c r="Q3" i="8"/>
  <c r="P3" i="8"/>
  <c r="J2" i="8"/>
  <c r="R2" i="8" s="1"/>
  <c r="A22" i="8"/>
  <c r="A72" i="8" s="1"/>
  <c r="A97" i="8" s="1"/>
  <c r="C41" i="8"/>
  <c r="C26" i="8"/>
  <c r="C71" i="8"/>
  <c r="C56" i="8"/>
  <c r="C51" i="8"/>
  <c r="C65" i="8"/>
  <c r="C69" i="8"/>
  <c r="R11" i="8"/>
  <c r="N15" i="8"/>
  <c r="F15" i="8"/>
  <c r="A32" i="8" l="1"/>
  <c r="A42" i="8"/>
  <c r="B22" i="8"/>
  <c r="A23" i="8"/>
  <c r="A27" i="8"/>
  <c r="A37" i="8"/>
  <c r="A47" i="8"/>
  <c r="A87" i="8" l="1"/>
  <c r="A112" i="8" s="1"/>
  <c r="A62" i="8"/>
  <c r="A73" i="8"/>
  <c r="A98" i="8" s="1"/>
  <c r="A43" i="8"/>
  <c r="A33" i="8"/>
  <c r="A48" i="8"/>
  <c r="A38" i="8"/>
  <c r="A28" i="8"/>
  <c r="A24" i="8"/>
  <c r="B23" i="8"/>
  <c r="A67" i="8"/>
  <c r="A92" i="8"/>
  <c r="A117" i="8" s="1"/>
  <c r="A77" i="8"/>
  <c r="A102" i="8" s="1"/>
  <c r="A52" i="8"/>
  <c r="B72" i="8"/>
  <c r="B47" i="8"/>
  <c r="B97" i="8" s="1"/>
  <c r="B27" i="8"/>
  <c r="A82" i="8"/>
  <c r="A107" i="8" s="1"/>
  <c r="A57" i="8"/>
  <c r="B73" i="8" l="1"/>
  <c r="B48" i="8"/>
  <c r="B98" i="8" s="1"/>
  <c r="B28" i="8"/>
  <c r="A78" i="8"/>
  <c r="A103" i="8" s="1"/>
  <c r="A53" i="8"/>
  <c r="A93" i="8"/>
  <c r="A118" i="8" s="1"/>
  <c r="A68" i="8"/>
  <c r="B77" i="8"/>
  <c r="B52" i="8"/>
  <c r="B102" i="8" s="1"/>
  <c r="B32" i="8"/>
  <c r="A74" i="8"/>
  <c r="A99" i="8" s="1"/>
  <c r="A49" i="8"/>
  <c r="A39" i="8"/>
  <c r="A29" i="8"/>
  <c r="A25" i="8"/>
  <c r="B24" i="8"/>
  <c r="A44" i="8"/>
  <c r="A34" i="8"/>
  <c r="A88" i="8"/>
  <c r="A113" i="8" s="1"/>
  <c r="A63" i="8"/>
  <c r="A83" i="8"/>
  <c r="A108" i="8" s="1"/>
  <c r="A58" i="8"/>
  <c r="A69" i="8" l="1"/>
  <c r="A94" i="8"/>
  <c r="A119" i="8" s="1"/>
  <c r="A75" i="8"/>
  <c r="A100" i="8" s="1"/>
  <c r="A45" i="8"/>
  <c r="A35" i="8"/>
  <c r="A50" i="8"/>
  <c r="A40" i="8"/>
  <c r="A30" i="8"/>
  <c r="A26" i="8"/>
  <c r="B25" i="8"/>
  <c r="A89" i="8"/>
  <c r="A114" i="8" s="1"/>
  <c r="A64" i="8"/>
  <c r="B78" i="8"/>
  <c r="B53" i="8"/>
  <c r="B103" i="8" s="1"/>
  <c r="B33" i="8"/>
  <c r="A84" i="8"/>
  <c r="A109" i="8" s="1"/>
  <c r="A59" i="8"/>
  <c r="B74" i="8"/>
  <c r="B49" i="8"/>
  <c r="B99" i="8" s="1"/>
  <c r="B29" i="8"/>
  <c r="A79" i="8"/>
  <c r="A104" i="8" s="1"/>
  <c r="A54" i="8"/>
  <c r="B82" i="8"/>
  <c r="B57" i="8"/>
  <c r="B107" i="8" s="1"/>
  <c r="B37" i="8"/>
  <c r="B87" i="8" l="1"/>
  <c r="B62" i="8"/>
  <c r="B112" i="8" s="1"/>
  <c r="B42" i="8"/>
  <c r="B83" i="8"/>
  <c r="B58" i="8"/>
  <c r="B108" i="8" s="1"/>
  <c r="B38" i="8"/>
  <c r="A76" i="8"/>
  <c r="A101" i="8" s="1"/>
  <c r="A51" i="8"/>
  <c r="A41" i="8"/>
  <c r="A31" i="8"/>
  <c r="B26" i="8"/>
  <c r="A46" i="8"/>
  <c r="A36" i="8"/>
  <c r="A90" i="8"/>
  <c r="A115" i="8" s="1"/>
  <c r="A65" i="8"/>
  <c r="A85" i="8"/>
  <c r="A110" i="8" s="1"/>
  <c r="A60" i="8"/>
  <c r="B79" i="8"/>
  <c r="B54" i="8"/>
  <c r="B104" i="8" s="1"/>
  <c r="B34" i="8"/>
  <c r="B75" i="8"/>
  <c r="B50" i="8"/>
  <c r="B100" i="8" s="1"/>
  <c r="B30" i="8"/>
  <c r="A80" i="8"/>
  <c r="A105" i="8" s="1"/>
  <c r="A55" i="8"/>
  <c r="A95" i="8"/>
  <c r="A120" i="8" s="1"/>
  <c r="A70" i="8"/>
  <c r="B80" i="8" l="1"/>
  <c r="B55" i="8"/>
  <c r="B105" i="8" s="1"/>
  <c r="B35" i="8"/>
  <c r="A86" i="8"/>
  <c r="A111" i="8" s="1"/>
  <c r="A61" i="8"/>
  <c r="B76" i="8"/>
  <c r="B51" i="8"/>
  <c r="B101" i="8" s="1"/>
  <c r="B31" i="8"/>
  <c r="A91" i="8"/>
  <c r="A116" i="8" s="1"/>
  <c r="A66" i="8"/>
  <c r="B92" i="8"/>
  <c r="B67" i="8"/>
  <c r="B117" i="8" s="1"/>
  <c r="B84" i="8"/>
  <c r="B59" i="8"/>
  <c r="B109" i="8" s="1"/>
  <c r="B39" i="8"/>
  <c r="A71" i="8"/>
  <c r="A96" i="8"/>
  <c r="A121" i="8" s="1"/>
  <c r="A81" i="8"/>
  <c r="A106" i="8" s="1"/>
  <c r="A56" i="8"/>
  <c r="B88" i="8"/>
  <c r="B63" i="8"/>
  <c r="B113" i="8" s="1"/>
  <c r="B43" i="8"/>
  <c r="B89" i="8" l="1"/>
  <c r="B64" i="8"/>
  <c r="B114" i="8" s="1"/>
  <c r="B44" i="8"/>
  <c r="B85" i="8"/>
  <c r="B60" i="8"/>
  <c r="B110" i="8" s="1"/>
  <c r="B40" i="8"/>
  <c r="B68" i="8"/>
  <c r="B118" i="8" s="1"/>
  <c r="B93" i="8"/>
  <c r="B81" i="8"/>
  <c r="B56" i="8"/>
  <c r="B106" i="8" s="1"/>
  <c r="B36" i="8"/>
  <c r="B86" i="8" l="1"/>
  <c r="B61" i="8"/>
  <c r="B111" i="8" s="1"/>
  <c r="B41" i="8"/>
  <c r="B94" i="8"/>
  <c r="B69" i="8"/>
  <c r="B119" i="8" s="1"/>
  <c r="B90" i="8"/>
  <c r="B65" i="8"/>
  <c r="B115" i="8" s="1"/>
  <c r="B45" i="8"/>
  <c r="B66" i="8" l="1"/>
  <c r="B116" i="8" s="1"/>
  <c r="B91" i="8"/>
  <c r="B46" i="8"/>
  <c r="B70" i="8"/>
  <c r="B120" i="8" s="1"/>
  <c r="B95" i="8"/>
  <c r="B96" i="8" l="1"/>
  <c r="B71" i="8"/>
  <c r="B121" i="8" s="1"/>
  <c r="L78" i="6" l="1"/>
  <c r="N76" i="6"/>
  <c r="L67" i="6"/>
  <c r="E75" i="6"/>
  <c r="M82" i="6"/>
  <c r="O17" i="8" s="1"/>
  <c r="M79" i="6"/>
  <c r="O14" i="8" s="1"/>
  <c r="M80" i="6"/>
  <c r="O15" i="8" s="1"/>
  <c r="M81" i="6"/>
  <c r="O16" i="8" s="1"/>
  <c r="M78" i="6"/>
  <c r="O13" i="8" s="1"/>
  <c r="R77" i="6"/>
  <c r="T12" i="8" s="1"/>
  <c r="O77" i="6"/>
  <c r="Q12" i="8" s="1"/>
  <c r="P77" i="6"/>
  <c r="R12" i="8" s="1"/>
  <c r="Q77" i="6"/>
  <c r="S12" i="8" s="1"/>
  <c r="N77" i="6"/>
  <c r="P12" i="8" s="1"/>
  <c r="M71" i="6"/>
  <c r="G17" i="8" s="1"/>
  <c r="M68" i="6"/>
  <c r="G14" i="8" s="1"/>
  <c r="M69" i="6"/>
  <c r="G15" i="8" s="1"/>
  <c r="M70" i="6"/>
  <c r="G16" i="8" s="1"/>
  <c r="M67" i="6"/>
  <c r="G13" i="8" s="1"/>
  <c r="H76" i="6"/>
  <c r="K3" i="8" s="1"/>
  <c r="I76" i="6"/>
  <c r="L3" i="8" s="1"/>
  <c r="F76" i="6"/>
  <c r="I3" i="8" s="1"/>
  <c r="E76" i="6"/>
  <c r="H3" i="8" s="1"/>
  <c r="M37" i="6"/>
  <c r="M53" i="6"/>
  <c r="I38" i="6"/>
  <c r="J38" i="6" s="1"/>
  <c r="K38" i="6" s="1"/>
  <c r="L38" i="6" s="1"/>
  <c r="D24" i="6"/>
  <c r="D30" i="6" s="1"/>
  <c r="E24" i="6"/>
  <c r="E30" i="6" s="1"/>
  <c r="F24" i="6"/>
  <c r="F30" i="6" s="1"/>
  <c r="G24" i="6"/>
  <c r="G30" i="6" s="1"/>
  <c r="C24" i="6"/>
  <c r="C30" i="6" s="1"/>
  <c r="B24" i="6"/>
  <c r="B30" i="6" s="1"/>
  <c r="C14" i="4"/>
  <c r="D14" i="4"/>
  <c r="E14" i="4"/>
  <c r="F14" i="4"/>
  <c r="G14" i="4"/>
  <c r="C17" i="4"/>
  <c r="E8" i="6"/>
  <c r="F8" i="6" s="1"/>
  <c r="G8" i="6" s="1"/>
  <c r="H8" i="6" s="1"/>
  <c r="I8" i="6" s="1"/>
  <c r="D18" i="6"/>
  <c r="E18" i="6"/>
  <c r="F18" i="6"/>
  <c r="G18" i="6"/>
  <c r="C18" i="6"/>
  <c r="B18" i="6"/>
  <c r="G17" i="6"/>
  <c r="F17" i="6"/>
  <c r="E17" i="6"/>
  <c r="D17" i="6"/>
  <c r="D19" i="6" s="1"/>
  <c r="C17" i="6"/>
  <c r="C19" i="6" s="1"/>
  <c r="B17" i="6"/>
  <c r="D14" i="6"/>
  <c r="I4" i="6"/>
  <c r="G16" i="6"/>
  <c r="G37" i="6" s="1"/>
  <c r="E19" i="6" l="1"/>
  <c r="G19" i="6"/>
  <c r="F19" i="6"/>
  <c r="H17" i="6"/>
  <c r="I17" i="6" s="1"/>
  <c r="J17" i="6" s="1"/>
  <c r="K17" i="6" s="1"/>
  <c r="L17" i="6" s="1"/>
  <c r="M17" i="6" s="1"/>
  <c r="G76" i="6"/>
  <c r="J3" i="8" s="1"/>
  <c r="G53" i="6"/>
  <c r="H16" i="6"/>
  <c r="B110" i="5"/>
  <c r="B109" i="5"/>
  <c r="B108" i="5"/>
  <c r="B107" i="5"/>
  <c r="B106" i="5"/>
  <c r="B105" i="5"/>
  <c r="E53" i="5"/>
  <c r="D64" i="5" s="1"/>
  <c r="E46" i="5"/>
  <c r="J35" i="5"/>
  <c r="J34" i="5"/>
  <c r="J20" i="5"/>
  <c r="J14" i="5"/>
  <c r="F26" i="5" s="1"/>
  <c r="J15" i="5"/>
  <c r="F27" i="5" s="1"/>
  <c r="J16" i="5"/>
  <c r="F28" i="5" s="1"/>
  <c r="J17" i="5"/>
  <c r="F29" i="5" s="1"/>
  <c r="J18" i="5"/>
  <c r="F30" i="5" s="1"/>
  <c r="J19" i="5"/>
  <c r="F31" i="5" s="1"/>
  <c r="J21" i="5"/>
  <c r="F33" i="5" s="1"/>
  <c r="J13" i="5"/>
  <c r="F25" i="5" s="1"/>
  <c r="C32" i="5"/>
  <c r="C33" i="5"/>
  <c r="H25" i="5"/>
  <c r="K25" i="5" s="1"/>
  <c r="C26" i="5"/>
  <c r="C27" i="5"/>
  <c r="C28" i="5"/>
  <c r="C29" i="5"/>
  <c r="C30" i="5"/>
  <c r="C31" i="5"/>
  <c r="C25" i="5"/>
  <c r="C10" i="5"/>
  <c r="B18" i="4"/>
  <c r="D88" i="4"/>
  <c r="E88" i="4"/>
  <c r="F88" i="4"/>
  <c r="G88" i="4"/>
  <c r="G48" i="6" s="1"/>
  <c r="D91" i="4"/>
  <c r="E91" i="4"/>
  <c r="F91" i="4"/>
  <c r="G91" i="4"/>
  <c r="G49" i="6" s="1"/>
  <c r="C91" i="4"/>
  <c r="C88" i="4"/>
  <c r="D54" i="4"/>
  <c r="E57" i="4" s="1"/>
  <c r="E54" i="4"/>
  <c r="F57" i="4" s="1"/>
  <c r="F54" i="4"/>
  <c r="G57" i="4" s="1"/>
  <c r="G54" i="4"/>
  <c r="C54" i="4"/>
  <c r="C35" i="4" s="1"/>
  <c r="D35" i="4"/>
  <c r="D34" i="4"/>
  <c r="E34" i="4"/>
  <c r="F34" i="4"/>
  <c r="G34" i="4"/>
  <c r="G54" i="6" s="1"/>
  <c r="C34" i="4"/>
  <c r="G32" i="4"/>
  <c r="F32" i="4"/>
  <c r="E32" i="4"/>
  <c r="D32" i="4"/>
  <c r="C32" i="4"/>
  <c r="D17" i="4"/>
  <c r="E17" i="4"/>
  <c r="F17" i="4"/>
  <c r="G17" i="4"/>
  <c r="B17" i="4"/>
  <c r="B15" i="4"/>
  <c r="B14" i="4"/>
  <c r="B12" i="4"/>
  <c r="G11" i="4"/>
  <c r="F11" i="4"/>
  <c r="E11" i="4"/>
  <c r="D11" i="4"/>
  <c r="C11" i="4"/>
  <c r="B11" i="4"/>
  <c r="G10" i="4"/>
  <c r="F10" i="4"/>
  <c r="E10" i="4"/>
  <c r="D10" i="4"/>
  <c r="C10" i="4"/>
  <c r="B10" i="4"/>
  <c r="G9" i="4"/>
  <c r="F9" i="4"/>
  <c r="E9" i="4"/>
  <c r="D9" i="4"/>
  <c r="C9" i="4"/>
  <c r="B9" i="4"/>
  <c r="D8" i="4"/>
  <c r="E8" i="4"/>
  <c r="F8" i="4"/>
  <c r="G8" i="4"/>
  <c r="C8" i="4"/>
  <c r="B8" i="4"/>
  <c r="F6" i="4"/>
  <c r="B6" i="4"/>
  <c r="B5" i="4"/>
  <c r="B4" i="4"/>
  <c r="D4" i="4"/>
  <c r="E4" i="4"/>
  <c r="F4" i="4"/>
  <c r="G4" i="4"/>
  <c r="D5" i="4"/>
  <c r="E5" i="4"/>
  <c r="F5" i="4"/>
  <c r="G5" i="4"/>
  <c r="C5" i="4"/>
  <c r="C4" i="4"/>
  <c r="G5" i="3"/>
  <c r="D10" i="2"/>
  <c r="D16" i="2" s="1"/>
  <c r="E10" i="2"/>
  <c r="E16" i="2" s="1"/>
  <c r="E25" i="2" s="1"/>
  <c r="E28" i="2" s="1"/>
  <c r="F10" i="2"/>
  <c r="F63" i="4" s="1"/>
  <c r="F52" i="4" s="1"/>
  <c r="G10" i="2"/>
  <c r="G16" i="2" s="1"/>
  <c r="G25" i="2" s="1"/>
  <c r="G28" i="2" s="1"/>
  <c r="C10" i="2"/>
  <c r="C63" i="4" s="1"/>
  <c r="G7" i="2"/>
  <c r="G3" i="4" s="1"/>
  <c r="G31" i="4" s="1"/>
  <c r="E56" i="9"/>
  <c r="G54" i="9"/>
  <c r="F54" i="9"/>
  <c r="E54" i="9"/>
  <c r="D54" i="9"/>
  <c r="C54" i="9"/>
  <c r="G44" i="9"/>
  <c r="G56" i="9" s="1"/>
  <c r="F44" i="9"/>
  <c r="F56" i="9" s="1"/>
  <c r="E44" i="9"/>
  <c r="D44" i="9"/>
  <c r="D56" i="9" s="1"/>
  <c r="C44" i="9"/>
  <c r="C56" i="9" s="1"/>
  <c r="G35" i="9"/>
  <c r="F29" i="9"/>
  <c r="D27" i="9"/>
  <c r="E27" i="9"/>
  <c r="E29" i="9" s="1"/>
  <c r="E60" i="9" s="1"/>
  <c r="F27" i="9"/>
  <c r="G27" i="9"/>
  <c r="C27" i="9"/>
  <c r="D17" i="9"/>
  <c r="D29" i="9" s="1"/>
  <c r="D60" i="9" s="1"/>
  <c r="E17" i="9"/>
  <c r="F17" i="9"/>
  <c r="G17" i="9"/>
  <c r="G29" i="9" s="1"/>
  <c r="C17" i="9"/>
  <c r="C29" i="9" s="1"/>
  <c r="C60" i="9" s="1"/>
  <c r="F8" i="9"/>
  <c r="F16" i="6" s="1"/>
  <c r="F53" i="6" s="1"/>
  <c r="G60" i="9" l="1"/>
  <c r="D19" i="2"/>
  <c r="D22" i="2" s="1"/>
  <c r="D25" i="2"/>
  <c r="D28" i="2" s="1"/>
  <c r="D68" i="4" s="1"/>
  <c r="F7" i="2"/>
  <c r="F3" i="4" s="1"/>
  <c r="F31" i="4" s="1"/>
  <c r="C16" i="2"/>
  <c r="D75" i="4"/>
  <c r="G6" i="4"/>
  <c r="G12" i="4" s="1"/>
  <c r="G66" i="4" s="1"/>
  <c r="E63" i="4"/>
  <c r="E52" i="4" s="1"/>
  <c r="F60" i="9"/>
  <c r="F5" i="3"/>
  <c r="C6" i="4"/>
  <c r="C12" i="4" s="1"/>
  <c r="C66" i="4" s="1"/>
  <c r="E8" i="9"/>
  <c r="F35" i="9"/>
  <c r="F16" i="2"/>
  <c r="D6" i="4"/>
  <c r="F35" i="4"/>
  <c r="D63" i="4"/>
  <c r="D52" i="4" s="1"/>
  <c r="F75" i="4"/>
  <c r="E6" i="4"/>
  <c r="G63" i="4"/>
  <c r="G52" i="4" s="1"/>
  <c r="F37" i="6"/>
  <c r="G25" i="5"/>
  <c r="I25" i="5" s="1"/>
  <c r="D27" i="4"/>
  <c r="D32" i="6" s="1"/>
  <c r="E35" i="4"/>
  <c r="E36" i="4" s="1"/>
  <c r="E37" i="4" s="1"/>
  <c r="G35" i="4"/>
  <c r="G27" i="4" s="1"/>
  <c r="G32" i="6" s="1"/>
  <c r="G56" i="6"/>
  <c r="D55" i="4"/>
  <c r="E56" i="4" s="1"/>
  <c r="D57" i="6"/>
  <c r="F55" i="4"/>
  <c r="G56" i="4" s="1"/>
  <c r="F57" i="6"/>
  <c r="C55" i="4"/>
  <c r="C71" i="4" s="1"/>
  <c r="C57" i="6"/>
  <c r="F47" i="4"/>
  <c r="E57" i="6"/>
  <c r="G55" i="4"/>
  <c r="G70" i="4" s="1"/>
  <c r="G57" i="6"/>
  <c r="H53" i="6"/>
  <c r="H37" i="6"/>
  <c r="D4" i="6"/>
  <c r="I16" i="6"/>
  <c r="G75" i="4"/>
  <c r="E75" i="4"/>
  <c r="G71" i="4"/>
  <c r="G23" i="4"/>
  <c r="F23" i="4"/>
  <c r="F26" i="4" s="1"/>
  <c r="E23" i="4"/>
  <c r="E26" i="4" s="1"/>
  <c r="D23" i="4"/>
  <c r="D26" i="4"/>
  <c r="G26" i="4"/>
  <c r="C87" i="4"/>
  <c r="C89" i="4" s="1"/>
  <c r="C92" i="4" s="1"/>
  <c r="C97" i="4" s="1"/>
  <c r="G87" i="4"/>
  <c r="G89" i="4" s="1"/>
  <c r="G92" i="4" s="1"/>
  <c r="G93" i="4" s="1"/>
  <c r="E87" i="4"/>
  <c r="E89" i="4" s="1"/>
  <c r="E92" i="4" s="1"/>
  <c r="E93" i="4" s="1"/>
  <c r="E68" i="4"/>
  <c r="G68" i="4"/>
  <c r="F87" i="4"/>
  <c r="F89" i="4" s="1"/>
  <c r="F92" i="4" s="1"/>
  <c r="F93" i="4" s="1"/>
  <c r="D87" i="4"/>
  <c r="D89" i="4" s="1"/>
  <c r="D92" i="4" s="1"/>
  <c r="D93" i="4" s="1"/>
  <c r="H31" i="5"/>
  <c r="K31" i="5" s="1"/>
  <c r="G31" i="5"/>
  <c r="I31" i="5" s="1"/>
  <c r="H29" i="5"/>
  <c r="K29" i="5" s="1"/>
  <c r="G29" i="5"/>
  <c r="I29" i="5" s="1"/>
  <c r="H33" i="5"/>
  <c r="K33" i="5" s="1"/>
  <c r="G33" i="5"/>
  <c r="I33" i="5" s="1"/>
  <c r="H30" i="5"/>
  <c r="K30" i="5" s="1"/>
  <c r="G30" i="5"/>
  <c r="I30" i="5" s="1"/>
  <c r="H28" i="5"/>
  <c r="K28" i="5" s="1"/>
  <c r="G28" i="5"/>
  <c r="I28" i="5" s="1"/>
  <c r="H26" i="5"/>
  <c r="K26" i="5" s="1"/>
  <c r="G26" i="5"/>
  <c r="I26" i="5" s="1"/>
  <c r="F32" i="5"/>
  <c r="H32" i="5" s="1"/>
  <c r="K32" i="5" s="1"/>
  <c r="F36" i="4"/>
  <c r="F37" i="4" s="1"/>
  <c r="D36" i="4"/>
  <c r="D37" i="4" s="1"/>
  <c r="E47" i="4"/>
  <c r="G47" i="4"/>
  <c r="C36" i="4"/>
  <c r="C37" i="4" s="1"/>
  <c r="E55" i="4"/>
  <c r="D57" i="4"/>
  <c r="C11" i="6" s="1"/>
  <c r="D11" i="6" s="1"/>
  <c r="D47" i="4"/>
  <c r="E12" i="4"/>
  <c r="E66" i="4" s="1"/>
  <c r="D12" i="4"/>
  <c r="D66" i="4" s="1"/>
  <c r="F12" i="4"/>
  <c r="F66" i="4" s="1"/>
  <c r="G19" i="2"/>
  <c r="G22" i="2" s="1"/>
  <c r="E19" i="2"/>
  <c r="E22" i="2" s="1"/>
  <c r="F19" i="2" l="1"/>
  <c r="F22" i="2" s="1"/>
  <c r="F25" i="2"/>
  <c r="F28" i="2" s="1"/>
  <c r="F68" i="4" s="1"/>
  <c r="C5" i="6"/>
  <c r="C19" i="2"/>
  <c r="C22" i="2" s="1"/>
  <c r="C25" i="2"/>
  <c r="C28" i="2" s="1"/>
  <c r="C68" i="4" s="1"/>
  <c r="C6" i="6"/>
  <c r="D6" i="6" s="1"/>
  <c r="G97" i="4"/>
  <c r="E16" i="6"/>
  <c r="E7" i="2"/>
  <c r="E3" i="4" s="1"/>
  <c r="E31" i="4" s="1"/>
  <c r="D8" i="9"/>
  <c r="E5" i="3"/>
  <c r="E35" i="9"/>
  <c r="D71" i="4"/>
  <c r="F27" i="4"/>
  <c r="F32" i="6" s="1"/>
  <c r="G36" i="4"/>
  <c r="G37" i="4" s="1"/>
  <c r="E27" i="4"/>
  <c r="E32" i="6" s="1"/>
  <c r="F97" i="4"/>
  <c r="C93" i="4"/>
  <c r="F71" i="4"/>
  <c r="F70" i="4"/>
  <c r="D70" i="4"/>
  <c r="D31" i="6"/>
  <c r="E31" i="6"/>
  <c r="F31" i="6"/>
  <c r="D56" i="4"/>
  <c r="C70" i="4"/>
  <c r="G31" i="6"/>
  <c r="F96" i="4"/>
  <c r="I37" i="6"/>
  <c r="E4" i="6"/>
  <c r="J16" i="6"/>
  <c r="I53" i="6"/>
  <c r="F56" i="4"/>
  <c r="E71" i="4"/>
  <c r="D97" i="4"/>
  <c r="E70" i="4"/>
  <c r="E97" i="4"/>
  <c r="C96" i="4"/>
  <c r="D96" i="4"/>
  <c r="G96" i="4"/>
  <c r="E96" i="4"/>
  <c r="G32" i="5"/>
  <c r="I32" i="5" s="1"/>
  <c r="C15" i="4"/>
  <c r="C20" i="4"/>
  <c r="C27" i="6" s="1"/>
  <c r="E15" i="4"/>
  <c r="E20" i="4"/>
  <c r="E27" i="6" s="1"/>
  <c r="D20" i="4"/>
  <c r="D27" i="6" s="1"/>
  <c r="D15" i="4"/>
  <c r="G15" i="4"/>
  <c r="G20" i="4"/>
  <c r="G27" i="6" s="1"/>
  <c r="F20" i="4"/>
  <c r="F27" i="6" s="1"/>
  <c r="F15" i="4"/>
  <c r="E37" i="6" l="1"/>
  <c r="E53" i="6"/>
  <c r="D16" i="6"/>
  <c r="D7" i="2"/>
  <c r="D3" i="4" s="1"/>
  <c r="D31" i="4" s="1"/>
  <c r="C8" i="9"/>
  <c r="D5" i="3"/>
  <c r="D35" i="9"/>
  <c r="H18" i="6"/>
  <c r="H19" i="6" s="1"/>
  <c r="E6" i="6"/>
  <c r="C10" i="6"/>
  <c r="D10" i="6" s="1"/>
  <c r="H54" i="6" s="1"/>
  <c r="C9" i="6"/>
  <c r="D9" i="6" s="1"/>
  <c r="E9" i="6" s="1"/>
  <c r="E11" i="6"/>
  <c r="H56" i="6"/>
  <c r="H32" i="6" s="1"/>
  <c r="J53" i="6"/>
  <c r="J37" i="6"/>
  <c r="F4" i="6"/>
  <c r="K16" i="6"/>
  <c r="G39" i="4"/>
  <c r="G42" i="4" s="1"/>
  <c r="G65" i="4"/>
  <c r="F39" i="4"/>
  <c r="F42" i="4" s="1"/>
  <c r="F65" i="4"/>
  <c r="D39" i="4"/>
  <c r="D42" i="4" s="1"/>
  <c r="D65" i="4"/>
  <c r="E39" i="4"/>
  <c r="E42" i="4" s="1"/>
  <c r="E65" i="4"/>
  <c r="C39" i="4"/>
  <c r="C65" i="4"/>
  <c r="D21" i="4"/>
  <c r="D18" i="4"/>
  <c r="E21" i="4"/>
  <c r="E18" i="4"/>
  <c r="F21" i="4"/>
  <c r="F18" i="4"/>
  <c r="G21" i="4"/>
  <c r="G18" i="4"/>
  <c r="C21" i="4"/>
  <c r="C18" i="4"/>
  <c r="D53" i="6" l="1"/>
  <c r="D37" i="6"/>
  <c r="I18" i="6"/>
  <c r="I19" i="6" s="1"/>
  <c r="F6" i="6"/>
  <c r="C16" i="6"/>
  <c r="C7" i="2"/>
  <c r="C3" i="4" s="1"/>
  <c r="C31" i="4" s="1"/>
  <c r="C35" i="9"/>
  <c r="C5" i="3"/>
  <c r="E10" i="6"/>
  <c r="I54" i="6" s="1"/>
  <c r="I55" i="6" s="1"/>
  <c r="I24" i="6" s="1"/>
  <c r="I30" i="6" s="1"/>
  <c r="K37" i="6"/>
  <c r="G4" i="6"/>
  <c r="L16" i="6"/>
  <c r="K53" i="6"/>
  <c r="H55" i="6"/>
  <c r="H24" i="6" s="1"/>
  <c r="H30" i="6" s="1"/>
  <c r="F11" i="6"/>
  <c r="I56" i="6"/>
  <c r="I32" i="6" s="1"/>
  <c r="F10" i="6"/>
  <c r="F9" i="6"/>
  <c r="C64" i="4"/>
  <c r="C22" i="6"/>
  <c r="G22" i="6"/>
  <c r="G64" i="4"/>
  <c r="F79" i="4"/>
  <c r="F67" i="4"/>
  <c r="E67" i="4"/>
  <c r="E79" i="4"/>
  <c r="D79" i="4"/>
  <c r="D67" i="4"/>
  <c r="C40" i="4"/>
  <c r="C67" i="4"/>
  <c r="G67" i="4"/>
  <c r="G79" i="4"/>
  <c r="F22" i="6"/>
  <c r="F64" i="4"/>
  <c r="E22" i="6"/>
  <c r="E64" i="4"/>
  <c r="D22" i="6"/>
  <c r="D64" i="4"/>
  <c r="E46" i="4"/>
  <c r="E48" i="4" s="1"/>
  <c r="E49" i="4" s="1"/>
  <c r="E53" i="4"/>
  <c r="E58" i="4" s="1"/>
  <c r="E59" i="4" s="1"/>
  <c r="D46" i="4"/>
  <c r="D48" i="4" s="1"/>
  <c r="D49" i="4" s="1"/>
  <c r="D53" i="4"/>
  <c r="D58" i="4" s="1"/>
  <c r="D59" i="4" s="1"/>
  <c r="F46" i="4"/>
  <c r="F48" i="4" s="1"/>
  <c r="F49" i="4" s="1"/>
  <c r="F53" i="4"/>
  <c r="F58" i="4" s="1"/>
  <c r="F59" i="4" s="1"/>
  <c r="G46" i="4"/>
  <c r="G48" i="4" s="1"/>
  <c r="G49" i="4" s="1"/>
  <c r="G53" i="4"/>
  <c r="G58" i="4" s="1"/>
  <c r="G59" i="4" s="1"/>
  <c r="F24" i="4"/>
  <c r="F28" i="4" s="1"/>
  <c r="F40" i="4"/>
  <c r="E40" i="4"/>
  <c r="E24" i="4"/>
  <c r="E28" i="4" s="1"/>
  <c r="D40" i="4"/>
  <c r="D24" i="4"/>
  <c r="D28" i="4" s="1"/>
  <c r="G40" i="4"/>
  <c r="G24" i="4"/>
  <c r="G28" i="4" s="1"/>
  <c r="G6" i="6" l="1"/>
  <c r="J18" i="6"/>
  <c r="J19" i="6" s="1"/>
  <c r="C7" i="6"/>
  <c r="C53" i="6"/>
  <c r="C37" i="6"/>
  <c r="C21" i="6"/>
  <c r="C25" i="6"/>
  <c r="C28" i="6" s="1"/>
  <c r="I31" i="6"/>
  <c r="D21" i="6"/>
  <c r="D25" i="6"/>
  <c r="D28" i="6" s="1"/>
  <c r="E21" i="6"/>
  <c r="E25" i="6"/>
  <c r="E28" i="6" s="1"/>
  <c r="F21" i="6"/>
  <c r="F25" i="6"/>
  <c r="F28" i="6" s="1"/>
  <c r="G21" i="6"/>
  <c r="G25" i="6"/>
  <c r="G28" i="6" s="1"/>
  <c r="G9" i="6"/>
  <c r="H9" i="6" s="1"/>
  <c r="G10" i="6"/>
  <c r="J54" i="6"/>
  <c r="G11" i="6"/>
  <c r="J56" i="6"/>
  <c r="J32" i="6" s="1"/>
  <c r="H31" i="6"/>
  <c r="H57" i="6" s="1"/>
  <c r="L53" i="6"/>
  <c r="L37" i="6"/>
  <c r="H4" i="6"/>
  <c r="E7" i="6"/>
  <c r="F43" i="4"/>
  <c r="F80" i="4" s="1"/>
  <c r="F76" i="4"/>
  <c r="G43" i="4"/>
  <c r="G80" i="4" s="1"/>
  <c r="G82" i="4" s="1"/>
  <c r="G76" i="4"/>
  <c r="D43" i="4"/>
  <c r="D80" i="4" s="1"/>
  <c r="D76" i="4"/>
  <c r="E43" i="4"/>
  <c r="E80" i="4" s="1"/>
  <c r="E76" i="4"/>
  <c r="E82" i="4" l="1"/>
  <c r="I57" i="6"/>
  <c r="H6" i="6"/>
  <c r="K18" i="6"/>
  <c r="K19" i="6" s="1"/>
  <c r="J55" i="6"/>
  <c r="J24" i="6" s="1"/>
  <c r="J30" i="6" s="1"/>
  <c r="G35" i="6"/>
  <c r="G33" i="6"/>
  <c r="F35" i="6"/>
  <c r="F33" i="6"/>
  <c r="E35" i="6"/>
  <c r="E33" i="6"/>
  <c r="D35" i="6"/>
  <c r="D33" i="6"/>
  <c r="H11" i="6"/>
  <c r="K56" i="6"/>
  <c r="K32" i="6" s="1"/>
  <c r="H10" i="6"/>
  <c r="K54" i="6"/>
  <c r="I9" i="6"/>
  <c r="H22" i="6"/>
  <c r="I22" i="6"/>
  <c r="F7" i="6"/>
  <c r="E83" i="4"/>
  <c r="E84" i="4" s="1"/>
  <c r="F82" i="4"/>
  <c r="F83" i="4" s="1"/>
  <c r="F84" i="4" s="1"/>
  <c r="G83" i="4"/>
  <c r="G84" i="4" s="1"/>
  <c r="I6" i="6" l="1"/>
  <c r="M18" i="6" s="1"/>
  <c r="M19" i="6" s="1"/>
  <c r="L18" i="6"/>
  <c r="L19" i="6" s="1"/>
  <c r="J31" i="6"/>
  <c r="J57" i="6" s="1"/>
  <c r="I10" i="6"/>
  <c r="M54" i="6" s="1"/>
  <c r="M55" i="6" s="1"/>
  <c r="M24" i="6" s="1"/>
  <c r="L54" i="6"/>
  <c r="I11" i="6"/>
  <c r="M56" i="6" s="1"/>
  <c r="L56" i="6"/>
  <c r="L32" i="6" s="1"/>
  <c r="K55" i="6"/>
  <c r="K24" i="6" s="1"/>
  <c r="K30" i="6" s="1"/>
  <c r="H21" i="6"/>
  <c r="H25" i="6"/>
  <c r="I21" i="6"/>
  <c r="I25" i="6"/>
  <c r="I27" i="6" s="1"/>
  <c r="I28" i="6" s="1"/>
  <c r="G7" i="6"/>
  <c r="J22" i="6"/>
  <c r="K31" i="6" l="1"/>
  <c r="K57" i="6" s="1"/>
  <c r="L55" i="6"/>
  <c r="L24" i="6" s="1"/>
  <c r="L30" i="6" s="1"/>
  <c r="L31" i="6" s="1"/>
  <c r="J21" i="6"/>
  <c r="J25" i="6"/>
  <c r="I35" i="6"/>
  <c r="I33" i="6"/>
  <c r="I40" i="6" s="1"/>
  <c r="H27" i="6"/>
  <c r="H28" i="6" s="1"/>
  <c r="H7" i="6"/>
  <c r="K22" i="6"/>
  <c r="L57" i="6" l="1"/>
  <c r="H35" i="6"/>
  <c r="H33" i="6"/>
  <c r="H40" i="6" s="1"/>
  <c r="K21" i="6"/>
  <c r="K25" i="6"/>
  <c r="J27" i="6"/>
  <c r="J28" i="6" s="1"/>
  <c r="I7" i="6"/>
  <c r="M22" i="6" s="1"/>
  <c r="L22" i="6"/>
  <c r="J35" i="6" l="1"/>
  <c r="J33" i="6"/>
  <c r="J40" i="6" s="1"/>
  <c r="L21" i="6"/>
  <c r="L25" i="6"/>
  <c r="L27" i="6" s="1"/>
  <c r="L28" i="6" s="1"/>
  <c r="K27" i="6"/>
  <c r="K28" i="6" s="1"/>
  <c r="M21" i="6"/>
  <c r="M25" i="6"/>
  <c r="M27" i="6" s="1"/>
  <c r="M28" i="6" s="1"/>
  <c r="M35" i="6" s="1"/>
  <c r="K35" i="6" l="1"/>
  <c r="K33" i="6"/>
  <c r="K40" i="6" s="1"/>
  <c r="L35" i="6"/>
  <c r="L33" i="6"/>
  <c r="L40" i="6" s="1"/>
  <c r="M30" i="6"/>
  <c r="M57" i="6" s="1"/>
  <c r="M33" i="6" l="1"/>
  <c r="G27" i="5" l="1"/>
  <c r="I27" i="5" s="1"/>
  <c r="I35" i="5" s="1"/>
  <c r="H27" i="5"/>
  <c r="H35" i="5" s="1"/>
  <c r="H34" i="5"/>
  <c r="H37" i="5" s="1"/>
  <c r="L32" i="5" l="1"/>
  <c r="L26" i="5"/>
  <c r="L30" i="5"/>
  <c r="L29" i="5"/>
  <c r="L25" i="5"/>
  <c r="L31" i="5"/>
  <c r="L28" i="5"/>
  <c r="L33" i="5"/>
  <c r="I34" i="5"/>
  <c r="I37" i="5" s="1"/>
  <c r="E55" i="5" s="1"/>
  <c r="K27" i="5"/>
  <c r="E64" i="5" l="1"/>
  <c r="F64" i="5" s="1"/>
  <c r="E56" i="5"/>
  <c r="E63" i="5" s="1"/>
  <c r="K34" i="5"/>
  <c r="L27" i="5"/>
  <c r="L34" i="5" s="1"/>
  <c r="L37" i="5" s="1"/>
  <c r="E45" i="5" s="1"/>
  <c r="E49" i="5" s="1"/>
  <c r="D63" i="5" s="1"/>
  <c r="K35" i="5"/>
  <c r="L35" i="5" l="1"/>
  <c r="F63" i="5"/>
  <c r="F65" i="5" s="1"/>
  <c r="F67" i="5" s="1"/>
  <c r="D10" i="5" l="1"/>
  <c r="L39" i="6" l="1"/>
  <c r="L41" i="6"/>
  <c r="K39" i="6"/>
  <c r="K42" i="6" s="1"/>
  <c r="I39" i="6"/>
  <c r="I42" i="6" s="1"/>
  <c r="J39" i="6"/>
  <c r="J42" i="6" s="1"/>
  <c r="H39" i="6"/>
  <c r="H42" i="6" s="1"/>
  <c r="L42" i="6" l="1"/>
  <c r="G43" i="6" s="1"/>
  <c r="C89" i="6" l="1"/>
  <c r="C88" i="6"/>
  <c r="G47" i="6"/>
  <c r="G50" i="6" s="1"/>
  <c r="D66" i="6" s="1"/>
  <c r="M66" i="6" l="1"/>
  <c r="G12" i="8" s="1"/>
  <c r="M77" i="6"/>
  <c r="O12" i="8" s="1"/>
  <c r="D76" i="6"/>
  <c r="G3" i="8" s="1"/>
  <c r="O3" i="8"/>
</calcChain>
</file>

<file path=xl/sharedStrings.xml><?xml version="1.0" encoding="utf-8"?>
<sst xmlns="http://schemas.openxmlformats.org/spreadsheetml/2006/main" count="308" uniqueCount="223">
  <si>
    <t>Balance Sheet input</t>
  </si>
  <si>
    <t>Please fill cells colored in:</t>
  </si>
  <si>
    <t>Assets input:</t>
  </si>
  <si>
    <t>Items segmentation:
(1 = Invested Capital, 2 = Financial item, 3 = Other, no related to operations)</t>
  </si>
  <si>
    <t>For Items Included in Invested Cpital:
1 = included in Working Capital</t>
  </si>
  <si>
    <t>Current assets:</t>
  </si>
  <si>
    <t>Item 1</t>
  </si>
  <si>
    <t>Item 2</t>
  </si>
  <si>
    <t>Item 3</t>
  </si>
  <si>
    <t>Item 4</t>
  </si>
  <si>
    <t>Item 5</t>
  </si>
  <si>
    <t>Item 6</t>
  </si>
  <si>
    <t>Item 7</t>
  </si>
  <si>
    <t>Total current assets</t>
  </si>
  <si>
    <t>Non-current assets:</t>
  </si>
  <si>
    <t>Total non-current assets</t>
  </si>
  <si>
    <t>Total Assets</t>
  </si>
  <si>
    <t>Liabilities input:</t>
  </si>
  <si>
    <t>Current liabilities:</t>
  </si>
  <si>
    <t>Non-current liabilities:</t>
  </si>
  <si>
    <t>Total Liabilities</t>
  </si>
  <si>
    <t>Income Statement input</t>
  </si>
  <si>
    <t>Revenues</t>
  </si>
  <si>
    <t>Cost Of Goods</t>
  </si>
  <si>
    <t>Gross profit</t>
  </si>
  <si>
    <t>Operating expeses 1</t>
  </si>
  <si>
    <t>Operating expeses 2</t>
  </si>
  <si>
    <t>Operating expeses 3</t>
  </si>
  <si>
    <t>Operating expeses 4</t>
  </si>
  <si>
    <t>EBIT</t>
  </si>
  <si>
    <t>Depreciation expenses</t>
  </si>
  <si>
    <t>Amortization expenses</t>
  </si>
  <si>
    <t>EBITDA</t>
  </si>
  <si>
    <t>Interest expenses</t>
  </si>
  <si>
    <t>Taxable income</t>
  </si>
  <si>
    <t>Tax expenses</t>
  </si>
  <si>
    <t>Net profit</t>
  </si>
  <si>
    <t>note: please start with balance sheet</t>
  </si>
  <si>
    <t>EBITA</t>
  </si>
  <si>
    <t>Additional input</t>
  </si>
  <si>
    <t>Tax rate</t>
  </si>
  <si>
    <t>Analysis</t>
  </si>
  <si>
    <t>Free Cash Flow calculation</t>
  </si>
  <si>
    <t>Operating taxes</t>
  </si>
  <si>
    <t>NOPLAT</t>
  </si>
  <si>
    <t>Depreciation &amp; Amortization expenses</t>
  </si>
  <si>
    <t>Gross Free Cash Flow</t>
  </si>
  <si>
    <t>Capital expenditures</t>
  </si>
  <si>
    <t>Change in working capital</t>
  </si>
  <si>
    <t>Free Cash Flow</t>
  </si>
  <si>
    <t>ROIC analysis</t>
  </si>
  <si>
    <t>Invested Capital (EOP)</t>
  </si>
  <si>
    <t>Invested Capital decomposition:</t>
  </si>
  <si>
    <t>Net Fixed assets</t>
  </si>
  <si>
    <t>Working Capital</t>
  </si>
  <si>
    <t>Sum</t>
  </si>
  <si>
    <t>ROIC (before tax)</t>
  </si>
  <si>
    <t>ROIC (after tax)</t>
  </si>
  <si>
    <t>ROIC (before tax) first decomposition</t>
  </si>
  <si>
    <t>Capital turnover</t>
  </si>
  <si>
    <t>Check</t>
  </si>
  <si>
    <t>ROIC (before tax) second decomposition</t>
  </si>
  <si>
    <t>Gross margin</t>
  </si>
  <si>
    <t>Operating expenses % revenues</t>
  </si>
  <si>
    <t>Working capital</t>
  </si>
  <si>
    <t>PP&amp;E and Other operating assets</t>
  </si>
  <si>
    <t>Operating assets % revenues</t>
  </si>
  <si>
    <t>Working capital % revenues</t>
  </si>
  <si>
    <t>Margins Analysis</t>
  </si>
  <si>
    <t>EBITDA margin</t>
  </si>
  <si>
    <t>NOPLAT margin</t>
  </si>
  <si>
    <t>Net margin</t>
  </si>
  <si>
    <t>Fixed assets, % of revenues</t>
  </si>
  <si>
    <t>Growth Analysis</t>
  </si>
  <si>
    <t>Revenue growth rate</t>
  </si>
  <si>
    <t>NOPLAT growth rate</t>
  </si>
  <si>
    <t>NOPLAT growth decomposition</t>
  </si>
  <si>
    <t>Reinvestment rate</t>
  </si>
  <si>
    <t>Growth in ROIC (after tax)</t>
  </si>
  <si>
    <t>NOPLAT growth reconciliation</t>
  </si>
  <si>
    <t>Operating Balance Sheet</t>
  </si>
  <si>
    <t>Invested Capital</t>
  </si>
  <si>
    <t>Nonoperating assets, net</t>
  </si>
  <si>
    <t>Net Debt</t>
  </si>
  <si>
    <t>Equity (BV)</t>
  </si>
  <si>
    <t>Leverage (D/A)</t>
  </si>
  <si>
    <t>Leverage (D/E)</t>
  </si>
  <si>
    <t>EBITA margin</t>
  </si>
  <si>
    <t>EBIT margin</t>
  </si>
  <si>
    <t>Wacc Calculation</t>
  </si>
  <si>
    <t>Name of company</t>
  </si>
  <si>
    <t>Weighted average cost of capital</t>
  </si>
  <si>
    <t>Purpose of valuation</t>
  </si>
  <si>
    <t>Small Stock Premium</t>
  </si>
  <si>
    <t>DD/MM/YYYY</t>
  </si>
  <si>
    <t>Notes</t>
  </si>
  <si>
    <t>Weighted average cost of capital, rounded</t>
  </si>
  <si>
    <t>Guideline Public Company</t>
  </si>
  <si>
    <t>Currency</t>
  </si>
  <si>
    <t>Date of financial data</t>
  </si>
  <si>
    <t>Pref. Stk.</t>
  </si>
  <si>
    <t>Mkt. Cap.</t>
  </si>
  <si>
    <t>Cash and others (in thousands)</t>
  </si>
  <si>
    <t>Debt</t>
  </si>
  <si>
    <t>Company 1</t>
  </si>
  <si>
    <t>CNY</t>
  </si>
  <si>
    <t>Company 2</t>
  </si>
  <si>
    <t>KRW</t>
  </si>
  <si>
    <t>Company 3</t>
  </si>
  <si>
    <t>Company 4</t>
  </si>
  <si>
    <t>TWD</t>
  </si>
  <si>
    <t>Company 5</t>
  </si>
  <si>
    <t>Company 6</t>
  </si>
  <si>
    <t>SGD</t>
  </si>
  <si>
    <t>Company 7</t>
  </si>
  <si>
    <t>HKD</t>
  </si>
  <si>
    <t>Company 8</t>
  </si>
  <si>
    <t>Company 9</t>
  </si>
  <si>
    <t>Ticker</t>
  </si>
  <si>
    <t>Total Invested Capital</t>
  </si>
  <si>
    <t>Debt / Equity</t>
  </si>
  <si>
    <t>Debt / Capital</t>
  </si>
  <si>
    <t xml:space="preserve">Equity Beta </t>
  </si>
  <si>
    <t>Unlevered Beta (2)</t>
  </si>
  <si>
    <t>Relevered Beta (3)</t>
  </si>
  <si>
    <t>[ Ticker 1 ]</t>
  </si>
  <si>
    <t>[ Ticker 2 ]</t>
  </si>
  <si>
    <t>[ Ticker 3 ]</t>
  </si>
  <si>
    <t>[ Ticker 4 ]</t>
  </si>
  <si>
    <t>[ Ticker 5 ]</t>
  </si>
  <si>
    <t>[ Ticker 6 ]</t>
  </si>
  <si>
    <t>[ Ticker 7 ]</t>
  </si>
  <si>
    <t>[ Ticker 8 ]</t>
  </si>
  <si>
    <t>Average</t>
  </si>
  <si>
    <t>Median</t>
  </si>
  <si>
    <t>Selected</t>
  </si>
  <si>
    <t>Assumptions</t>
  </si>
  <si>
    <t>Sources</t>
  </si>
  <si>
    <t>Risk-free rate (Rf)</t>
  </si>
  <si>
    <t>Equity risk premium (Rm- Rf)</t>
  </si>
  <si>
    <t>Selected relevered beta (B)</t>
  </si>
  <si>
    <t>Average relevered beta</t>
  </si>
  <si>
    <t>Small stock premium (Ssp)</t>
  </si>
  <si>
    <t>Ibbotson Associates, Inc. [2013] Valuation Edition Yearbook</t>
  </si>
  <si>
    <t>Company-specific risk premium (α)</t>
  </si>
  <si>
    <t>Country risk premium (α)</t>
  </si>
  <si>
    <t>Cost of equity (Re)</t>
  </si>
  <si>
    <t>Pre tax cost of debt (Rd)</t>
  </si>
  <si>
    <t>Tax Rate</t>
  </si>
  <si>
    <t>After tax cost of debt (Rd)</t>
  </si>
  <si>
    <t>Company's debt as % of total capitalization [D/(E+D)]</t>
  </si>
  <si>
    <t>Average/median - comparable companies</t>
  </si>
  <si>
    <t>Company's mkt. cap. as % of total cap. [E/(E+D)]</t>
  </si>
  <si>
    <t>Weighted Average Cost of Capital (WACC)</t>
  </si>
  <si>
    <t>Expected Return</t>
  </si>
  <si>
    <t>Weighting</t>
  </si>
  <si>
    <t>WACC</t>
  </si>
  <si>
    <t>Small Stock Premium (Ibbotson Associates, Inc. 2013 Edition)</t>
  </si>
  <si>
    <t>Decile</t>
  </si>
  <si>
    <t>Smallest Company</t>
  </si>
  <si>
    <t>Largest Company</t>
  </si>
  <si>
    <t xml:space="preserve">Size Premium </t>
  </si>
  <si>
    <t>Mid-Cap</t>
  </si>
  <si>
    <t>to</t>
  </si>
  <si>
    <t>Low-Cap</t>
  </si>
  <si>
    <t>Micro-Cap</t>
  </si>
  <si>
    <t>Breakdown of Deciles 1-10</t>
  </si>
  <si>
    <t>1-Largest</t>
  </si>
  <si>
    <t>10-Smallest</t>
  </si>
  <si>
    <t>Breakdown of the 10th decile</t>
  </si>
  <si>
    <t>10a</t>
  </si>
  <si>
    <t>10w</t>
  </si>
  <si>
    <t>10x</t>
  </si>
  <si>
    <t>10b</t>
  </si>
  <si>
    <t>10y</t>
  </si>
  <si>
    <t>10z</t>
  </si>
  <si>
    <t>[ Ticker 9 ]</t>
  </si>
  <si>
    <t>Minority Interest</t>
  </si>
  <si>
    <t>Other Equity Components</t>
  </si>
  <si>
    <t>Total Equity</t>
  </si>
  <si>
    <t>Valuation Forecast</t>
  </si>
  <si>
    <t>Model input</t>
  </si>
  <si>
    <t>Terminal year</t>
  </si>
  <si>
    <t>Revenue growth</t>
  </si>
  <si>
    <t>Effective tax rate</t>
  </si>
  <si>
    <t>Depreciation &amp; Amortization, % of PP&amp;E</t>
  </si>
  <si>
    <t>Working capital, % of revenues</t>
  </si>
  <si>
    <t>Terminal year ROIC</t>
  </si>
  <si>
    <t>Implied Reinvestment Rate</t>
  </si>
  <si>
    <t>Gross Profit</t>
  </si>
  <si>
    <t>Operating expenses (not inc. D&amp;A)</t>
  </si>
  <si>
    <t>Change in Working Capital</t>
  </si>
  <si>
    <t>Implied ROIC</t>
  </si>
  <si>
    <t>EV Calculation</t>
  </si>
  <si>
    <t>Period to discount</t>
  </si>
  <si>
    <t>Discount factor</t>
  </si>
  <si>
    <t>FCF to discount</t>
  </si>
  <si>
    <t>Terminal Value</t>
  </si>
  <si>
    <t>FCF as of Valuation Date</t>
  </si>
  <si>
    <t>EV</t>
  </si>
  <si>
    <t>Equity Valuation</t>
  </si>
  <si>
    <t>Enterprise Value</t>
  </si>
  <si>
    <t>Nonoperating assets</t>
  </si>
  <si>
    <t>Net debt</t>
  </si>
  <si>
    <t>Equity Value</t>
  </si>
  <si>
    <t>Helpful calculations</t>
  </si>
  <si>
    <t>Net PP&amp;E</t>
  </si>
  <si>
    <t>EOP Invested Capital</t>
  </si>
  <si>
    <t>Sensitivity Analysis</t>
  </si>
  <si>
    <t>WACC vs. perpetual growth</t>
  </si>
  <si>
    <t>Terminal year ROIC vs. EBITDA margin</t>
  </si>
  <si>
    <t>Perpetual growth</t>
  </si>
  <si>
    <t>WACC vs. EBITDA margin</t>
  </si>
  <si>
    <t>Sanity Checks</t>
  </si>
  <si>
    <t>Multiples Analysis</t>
  </si>
  <si>
    <t>EV/EBITDA</t>
  </si>
  <si>
    <t>Depreciation, % of fixed assets</t>
  </si>
  <si>
    <t>EV/EBITA</t>
  </si>
  <si>
    <t>Historic Average</t>
  </si>
  <si>
    <t>MESSAGE</t>
  </si>
  <si>
    <t>Allow for negative net debt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</si>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</sst>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_(* #,##0_);_(* \(#,##0\);_(* &quot;-&quot;_);@_)"/>
    <numFmt numFmtId="167" formatCode="0%_);\(0%\)"/>
    <numFmt numFmtId="168" formatCode="0.0%"/>
    <numFmt numFmtId="169" formatCode="[$£-809]#,##0.0"/>
    <numFmt numFmtId="170" formatCode="0.0%_);\(0.0%\)"/>
    <numFmt numFmtId="171" formatCode="0.00%_);\(0.00%\)"/>
    <numFmt numFmtId="172" formatCode="_(* #,##0%_);_(* \(#,##0%\);_(* &quot;-&quot;_);_(@_)"/>
    <numFmt numFmtId="173" formatCode="_-* #,##0_-;\-* #,##0_-;_-* &quot;-&quot;??_-;_-@_-"/>
    <numFmt numFmtId="174" formatCode="#,##0_ ;[Red]\-#,##0\ "/>
    <numFmt numFmtId="175" formatCode="#,##0.00_ ;[Red]\-#,##0.00\ "/>
    <numFmt numFmtId="176" formatCode="_-* #,##0.00\ _B_F_-;\-* #,##0.00\ _B_F_-;_-* &quot;-&quot;??\ _B_F_-;_-@_-"/>
    <numFmt numFmtId="177" formatCode="_-* #,##0\ _B_F_-;\-* #,##0\ _B_F_-;_-* &quot;-&quot;??\ _B_F_-;_-@_-"/>
    <numFmt numFmtId="178" formatCode="_-* #,##0.000\ _B_F_-;\-* #,##0.000\ _B_F_-;_-* &quot;-&quot;??\ _B_F_-;_-@_-"/>
    <numFmt numFmtId="179" formatCode="#,##0.0_ ;[Red]\-#,##0.0\ "/>
    <numFmt numFmtId="180" formatCode="_-* #,##0.0\ _B_F_-;\-* #,##0.0\ _B_F_-;_-* &quot;-&quot;??\ _B_F_-;_-@_-"/>
    <numFmt numFmtId="181" formatCode="#,##0_ ;\-#,##0\ "/>
    <numFmt numFmtId="182" formatCode="_ * #,##0.0_ ;_ * \-#,##0.0_ ;_ * &quot;-&quot;??_ ;_ @_ "/>
    <numFmt numFmtId="183" formatCode="_ * #,##0_ ;_ * \-#,##0_ ;_ * &quot;-&quot;??_ ;_ @_ "/>
  </numFmts>
  <fonts count="41">
    <font>
      <sz val="11"/>
      <color theme="1"/>
      <name val="Arial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9"/>
      <color theme="1"/>
      <name val="Arial"/>
      <family val="2"/>
      <scheme val="minor"/>
    </font>
    <font>
      <sz val="11"/>
      <color theme="1"/>
      <name val="Calibri"/>
      <family val="2"/>
      <charset val="177"/>
    </font>
    <font>
      <sz val="9"/>
      <color rgb="FF9C0006"/>
      <name val="Arial"/>
      <family val="2"/>
    </font>
    <font>
      <i/>
      <sz val="9"/>
      <color rgb="FF7F7F7F"/>
      <name val="Arial"/>
      <family val="2"/>
      <scheme val="minor"/>
    </font>
    <font>
      <sz val="9"/>
      <color rgb="FF006100"/>
      <name val="Arial"/>
      <family val="2"/>
    </font>
    <font>
      <b/>
      <sz val="9"/>
      <color theme="3"/>
      <name val="Arial"/>
      <family val="2"/>
      <scheme val="minor"/>
    </font>
    <font>
      <sz val="8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sz val="10"/>
      <name val="Arial"/>
      <family val="2"/>
    </font>
    <font>
      <u/>
      <sz val="9"/>
      <color theme="10"/>
      <name val="Arial"/>
      <family val="2"/>
    </font>
    <font>
      <sz val="11"/>
      <color rgb="FFFF0000"/>
      <name val="Calibri"/>
      <family val="2"/>
      <charset val="177"/>
    </font>
    <font>
      <b/>
      <sz val="11"/>
      <color rgb="FFFF0000"/>
      <name val="Calibri"/>
      <family val="2"/>
      <charset val="177"/>
    </font>
    <font>
      <sz val="11"/>
      <color theme="0"/>
      <name val="Calibri"/>
      <family val="2"/>
      <charset val="177"/>
    </font>
    <font>
      <b/>
      <sz val="11"/>
      <color theme="0"/>
      <name val="Calibri"/>
      <family val="2"/>
      <charset val="177"/>
    </font>
    <font>
      <b/>
      <sz val="11"/>
      <color theme="3"/>
      <name val="Calibri"/>
      <family val="2"/>
    </font>
    <font>
      <sz val="11"/>
      <color theme="0"/>
      <name val="Calibri"/>
      <family val="2"/>
    </font>
    <font>
      <sz val="9"/>
      <color theme="1"/>
      <name val="Calibri"/>
      <family val="2"/>
    </font>
    <font>
      <b/>
      <sz val="9"/>
      <color theme="3"/>
      <name val="Calibri"/>
      <family val="2"/>
    </font>
    <font>
      <b/>
      <sz val="9"/>
      <color theme="1"/>
      <name val="Calibri"/>
      <family val="2"/>
    </font>
    <font>
      <i/>
      <sz val="8"/>
      <color theme="0" tint="-0.34998626667073579"/>
      <name val="Calibri"/>
      <family val="2"/>
    </font>
    <font>
      <sz val="9"/>
      <name val="Calibri"/>
      <family val="2"/>
    </font>
    <font>
      <u/>
      <sz val="9"/>
      <color theme="10"/>
      <name val="Calibri"/>
      <family val="2"/>
    </font>
    <font>
      <i/>
      <sz val="9"/>
      <color rgb="FF7F7F7F"/>
      <name val="Calibri"/>
      <family val="2"/>
    </font>
    <font>
      <sz val="11"/>
      <name val="Calibri"/>
      <family val="2"/>
    </font>
    <font>
      <b/>
      <sz val="10"/>
      <color theme="0"/>
      <name val="Calibri"/>
      <family val="2"/>
    </font>
    <font>
      <b/>
      <sz val="9"/>
      <color theme="5" tint="-0.249977111117893"/>
      <name val="Calibri"/>
      <family val="2"/>
    </font>
    <font>
      <b/>
      <sz val="9"/>
      <color rgb="FF0070C0"/>
      <name val="Calibri"/>
      <family val="2"/>
    </font>
    <font>
      <sz val="9"/>
      <color rgb="FF0070C0"/>
      <name val="Calibri"/>
      <family val="2"/>
    </font>
    <font>
      <b/>
      <sz val="9"/>
      <color rgb="FF1F497D"/>
      <name val="Calibri"/>
      <family val="2"/>
    </font>
    <font>
      <b/>
      <sz val="9"/>
      <color theme="0" tint="-0.249977111117893"/>
      <name val="Calibri"/>
      <family val="2"/>
    </font>
    <font>
      <sz val="9"/>
      <color theme="0" tint="-0.249977111117893"/>
      <name val="Calibri"/>
      <family val="2"/>
    </font>
    <font>
      <b/>
      <sz val="11"/>
      <color rgb="FF1F497D"/>
      <name val="Calibri"/>
      <family val="2"/>
    </font>
    <font>
      <b/>
      <sz val="9"/>
      <name val="Calibri"/>
      <family val="2"/>
    </font>
    <font>
      <sz val="9"/>
      <color rgb="FFFF0000"/>
      <name val="Calibri"/>
      <family val="2"/>
    </font>
    <font>
      <b/>
      <sz val="9"/>
      <color rgb="FFC00000"/>
      <name val="Calibri"/>
      <family val="2"/>
    </font>
    <font>
      <sz val="9"/>
      <color theme="0"/>
      <name val="Calibri"/>
      <family val="2"/>
    </font>
    <font>
      <b/>
      <sz val="11"/>
      <color theme="1"/>
      <name val="Calibri"/>
      <family val="2"/>
      <charset val="177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2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-0.24994659260841701"/>
      </top>
      <bottom/>
      <diagonal/>
    </border>
    <border>
      <left/>
      <right/>
      <top/>
      <bottom style="thin">
        <color theme="3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theme="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3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medium">
        <color theme="3"/>
      </right>
      <top style="thin">
        <color theme="3"/>
      </top>
      <bottom/>
      <diagonal/>
    </border>
    <border>
      <left style="thin">
        <color theme="3"/>
      </left>
      <right/>
      <top/>
      <bottom style="medium">
        <color theme="3"/>
      </bottom>
      <diagonal/>
    </border>
    <border>
      <left style="mediumDashed">
        <color theme="3"/>
      </left>
      <right/>
      <top/>
      <bottom style="medium">
        <color theme="4"/>
      </bottom>
      <diagonal/>
    </border>
    <border>
      <left style="mediumDashed">
        <color theme="3"/>
      </left>
      <right/>
      <top/>
      <bottom/>
      <diagonal/>
    </border>
    <border>
      <left style="mediumDashed">
        <color theme="3"/>
      </left>
      <right/>
      <top style="medium">
        <color theme="4"/>
      </top>
      <bottom/>
      <diagonal/>
    </border>
    <border>
      <left style="mediumDashed">
        <color theme="3"/>
      </left>
      <right/>
      <top/>
      <bottom style="thin">
        <color theme="4"/>
      </bottom>
      <diagonal/>
    </border>
    <border>
      <left style="mediumDashed">
        <color theme="3"/>
      </left>
      <right/>
      <top style="thin">
        <color theme="4"/>
      </top>
      <bottom/>
      <diagonal/>
    </border>
    <border>
      <left style="mediumDashed">
        <color theme="3"/>
      </left>
      <right/>
      <top style="thin">
        <color theme="4"/>
      </top>
      <bottom style="medium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166" fontId="4" fillId="0" borderId="0"/>
    <xf numFmtId="0" fontId="8" fillId="2" borderId="0" applyNumberFormat="0" applyBorder="0" applyAlignment="0" applyProtection="0"/>
    <xf numFmtId="0" fontId="6" fillId="3" borderId="0" applyNumberFormat="0" applyBorder="0" applyAlignment="0" applyProtection="0"/>
    <xf numFmtId="0" fontId="4" fillId="4" borderId="1" applyNumberFormat="0" applyAlignment="0" applyProtection="0"/>
    <xf numFmtId="166" fontId="9" fillId="0" borderId="0" applyNumberFormat="0" applyFill="0" applyBorder="0" applyAlignment="0" applyProtection="0"/>
    <xf numFmtId="166" fontId="4" fillId="5" borderId="0" applyNumberFormat="0" applyFont="0" applyBorder="0" applyAlignment="0" applyProtection="0"/>
    <xf numFmtId="0" fontId="4" fillId="0" borderId="0" applyFill="0" applyBorder="0" applyProtection="0"/>
    <xf numFmtId="166" fontId="4" fillId="6" borderId="0" applyNumberFormat="0" applyFont="0" applyBorder="0" applyAlignment="0" applyProtection="0"/>
    <xf numFmtId="167" fontId="4" fillId="0" borderId="0" applyFill="0" applyBorder="0" applyAlignment="0" applyProtection="0"/>
    <xf numFmtId="0" fontId="10" fillId="0" borderId="0" applyNumberFormat="0" applyAlignment="0" applyProtection="0"/>
    <xf numFmtId="0" fontId="9" fillId="0" borderId="2" applyFill="0" applyProtection="0">
      <alignment horizontal="right" wrapText="1"/>
    </xf>
    <xf numFmtId="0" fontId="9" fillId="0" borderId="0" applyFill="0" applyProtection="0">
      <alignment wrapText="1"/>
    </xf>
    <xf numFmtId="166" fontId="11" fillId="0" borderId="3" applyNumberFormat="0" applyFill="0" applyAlignment="0" applyProtection="0"/>
    <xf numFmtId="0" fontId="3" fillId="0" borderId="0" applyAlignment="0" applyProtection="0"/>
    <xf numFmtId="0" fontId="11" fillId="0" borderId="4" applyNumberFormat="0" applyFill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169" fontId="7" fillId="0" borderId="0" applyNumberFormat="0" applyFill="0" applyBorder="0" applyAlignment="0" applyProtection="0"/>
    <xf numFmtId="167" fontId="4" fillId="0" borderId="0" applyFont="0" applyFill="0" applyBorder="0" applyAlignment="0" applyProtection="0"/>
    <xf numFmtId="169" fontId="12" fillId="0" borderId="0"/>
    <xf numFmtId="165" fontId="4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86">
    <xf numFmtId="0" fontId="0" fillId="0" borderId="0" xfId="0"/>
    <xf numFmtId="0" fontId="14" fillId="0" borderId="0" xfId="22" applyFont="1"/>
    <xf numFmtId="183" fontId="15" fillId="0" borderId="0" xfId="23" applyNumberFormat="1" applyFont="1"/>
    <xf numFmtId="0" fontId="16" fillId="0" borderId="0" xfId="22" applyFont="1"/>
    <xf numFmtId="9" fontId="16" fillId="0" borderId="0" xfId="22" applyNumberFormat="1" applyFont="1"/>
    <xf numFmtId="0" fontId="17" fillId="0" borderId="0" xfId="22" applyFont="1"/>
    <xf numFmtId="0" fontId="16" fillId="0" borderId="0" xfId="22" applyFont="1" applyFill="1" applyBorder="1"/>
    <xf numFmtId="0" fontId="16" fillId="0" borderId="0" xfId="22" applyFont="1" applyFill="1" applyBorder="1" applyAlignment="1">
      <alignment horizontal="center"/>
    </xf>
    <xf numFmtId="1" fontId="16" fillId="0" borderId="0" xfId="22" applyNumberFormat="1" applyFont="1" applyFill="1" applyBorder="1"/>
    <xf numFmtId="0" fontId="18" fillId="0" borderId="0" xfId="15" applyFont="1"/>
    <xf numFmtId="166" fontId="20" fillId="0" borderId="0" xfId="2" applyFont="1"/>
    <xf numFmtId="0" fontId="1" fillId="0" borderId="0" xfId="0" applyFont="1"/>
    <xf numFmtId="166" fontId="20" fillId="11" borderId="0" xfId="2" applyFont="1" applyFill="1"/>
    <xf numFmtId="0" fontId="21" fillId="0" borderId="0" xfId="13" applyFont="1">
      <alignment wrapText="1"/>
    </xf>
    <xf numFmtId="0" fontId="21" fillId="0" borderId="2" xfId="12" applyFont="1">
      <alignment horizontal="right" wrapText="1"/>
    </xf>
    <xf numFmtId="0" fontId="21" fillId="11" borderId="2" xfId="12" applyFont="1" applyFill="1">
      <alignment horizontal="right" wrapText="1"/>
    </xf>
    <xf numFmtId="0" fontId="21" fillId="0" borderId="2" xfId="12" applyFont="1" applyAlignment="1">
      <alignment horizontal="left" wrapText="1"/>
    </xf>
    <xf numFmtId="166" fontId="20" fillId="0" borderId="0" xfId="2" applyFont="1" applyAlignment="1">
      <alignment horizontal="left" indent="3"/>
    </xf>
    <xf numFmtId="0" fontId="1" fillId="0" borderId="38" xfId="0" applyFont="1" applyBorder="1"/>
    <xf numFmtId="166" fontId="20" fillId="0" borderId="0" xfId="2" applyFont="1" applyFill="1"/>
    <xf numFmtId="0" fontId="1" fillId="0" borderId="39" xfId="0" applyFont="1" applyBorder="1"/>
    <xf numFmtId="0" fontId="1" fillId="0" borderId="40" xfId="0" applyFont="1" applyBorder="1"/>
    <xf numFmtId="166" fontId="22" fillId="0" borderId="3" xfId="14" applyFont="1" applyAlignment="1">
      <alignment horizontal="left"/>
    </xf>
    <xf numFmtId="166" fontId="22" fillId="0" borderId="3" xfId="14" applyFont="1"/>
    <xf numFmtId="166" fontId="20" fillId="0" borderId="0" xfId="2" applyFont="1" applyAlignment="1">
      <alignment horizontal="left"/>
    </xf>
    <xf numFmtId="166" fontId="22" fillId="0" borderId="4" xfId="16" applyNumberFormat="1" applyFont="1" applyAlignment="1">
      <alignment horizontal="left"/>
    </xf>
    <xf numFmtId="166" fontId="22" fillId="0" borderId="4" xfId="16" applyNumberFormat="1" applyFont="1"/>
    <xf numFmtId="0" fontId="1" fillId="11" borderId="0" xfId="0" applyFont="1" applyFill="1"/>
    <xf numFmtId="166" fontId="22" fillId="11" borderId="4" xfId="16" applyNumberFormat="1" applyFont="1" applyFill="1"/>
    <xf numFmtId="168" fontId="23" fillId="0" borderId="3" xfId="14" applyNumberFormat="1" applyFont="1" applyAlignment="1">
      <alignment horizontal="right"/>
    </xf>
    <xf numFmtId="166" fontId="22" fillId="0" borderId="0" xfId="2" applyFont="1"/>
    <xf numFmtId="0" fontId="21" fillId="0" borderId="2" xfId="12" applyFont="1" applyFill="1">
      <alignment horizontal="right" wrapText="1"/>
    </xf>
    <xf numFmtId="166" fontId="20" fillId="0" borderId="0" xfId="2" applyFont="1" applyFill="1" applyBorder="1"/>
    <xf numFmtId="166" fontId="20" fillId="11" borderId="0" xfId="2" applyFont="1" applyFill="1" applyBorder="1"/>
    <xf numFmtId="166" fontId="20" fillId="0" borderId="0" xfId="2" applyFont="1" applyFill="1" applyBorder="1" applyAlignment="1">
      <alignment horizontal="left"/>
    </xf>
    <xf numFmtId="166" fontId="22" fillId="0" borderId="3" xfId="14" applyFont="1" applyFill="1" applyAlignment="1">
      <alignment horizontal="left"/>
    </xf>
    <xf numFmtId="166" fontId="22" fillId="0" borderId="3" xfId="14" applyFont="1" applyFill="1"/>
    <xf numFmtId="166" fontId="20" fillId="0" borderId="0" xfId="2" applyFont="1" applyFill="1" applyBorder="1" applyAlignment="1">
      <alignment horizontal="left" indent="3"/>
    </xf>
    <xf numFmtId="166" fontId="22" fillId="0" borderId="0" xfId="14" applyFont="1" applyFill="1" applyBorder="1" applyAlignment="1">
      <alignment horizontal="left"/>
    </xf>
    <xf numFmtId="166" fontId="22" fillId="0" borderId="0" xfId="14" applyFont="1" applyFill="1" applyBorder="1"/>
    <xf numFmtId="166" fontId="22" fillId="0" borderId="0" xfId="16" applyNumberFormat="1" applyFont="1" applyFill="1" applyBorder="1" applyAlignment="1">
      <alignment horizontal="left"/>
    </xf>
    <xf numFmtId="166" fontId="22" fillId="0" borderId="0" xfId="16" applyNumberFormat="1" applyFont="1" applyFill="1" applyBorder="1"/>
    <xf numFmtId="168" fontId="20" fillId="11" borderId="0" xfId="2" applyNumberFormat="1" applyFont="1" applyFill="1"/>
    <xf numFmtId="166" fontId="22" fillId="0" borderId="0" xfId="2" applyFont="1" applyFill="1" applyBorder="1"/>
    <xf numFmtId="0" fontId="22" fillId="0" borderId="3" xfId="14" applyNumberFormat="1" applyFont="1" applyFill="1" applyAlignment="1">
      <alignment horizontal="left" wrapText="1"/>
    </xf>
    <xf numFmtId="173" fontId="22" fillId="0" borderId="3" xfId="1" applyNumberFormat="1" applyFont="1" applyFill="1" applyBorder="1" applyAlignment="1">
      <alignment horizontal="right" wrapText="1"/>
    </xf>
    <xf numFmtId="166" fontId="24" fillId="0" borderId="0" xfId="2" applyFont="1"/>
    <xf numFmtId="168" fontId="23" fillId="0" borderId="0" xfId="14" applyNumberFormat="1" applyFont="1" applyBorder="1" applyAlignment="1">
      <alignment horizontal="right"/>
    </xf>
    <xf numFmtId="168" fontId="22" fillId="0" borderId="0" xfId="2" applyNumberFormat="1" applyFont="1"/>
    <xf numFmtId="168" fontId="20" fillId="0" borderId="0" xfId="2" applyNumberFormat="1" applyFont="1"/>
    <xf numFmtId="168" fontId="22" fillId="0" borderId="3" xfId="14" applyNumberFormat="1" applyFont="1"/>
    <xf numFmtId="10" fontId="20" fillId="0" borderId="0" xfId="2" applyNumberFormat="1" applyFont="1"/>
    <xf numFmtId="166" fontId="22" fillId="10" borderId="0" xfId="2" applyFont="1" applyFill="1"/>
    <xf numFmtId="166" fontId="20" fillId="10" borderId="0" xfId="2" applyFont="1" applyFill="1"/>
    <xf numFmtId="10" fontId="20" fillId="10" borderId="0" xfId="2" applyNumberFormat="1" applyFont="1" applyFill="1"/>
    <xf numFmtId="168" fontId="20" fillId="10" borderId="0" xfId="2" applyNumberFormat="1" applyFont="1" applyFill="1"/>
    <xf numFmtId="165" fontId="20" fillId="10" borderId="0" xfId="2" applyNumberFormat="1" applyFont="1" applyFill="1"/>
    <xf numFmtId="166" fontId="22" fillId="10" borderId="3" xfId="14" applyFont="1" applyFill="1"/>
    <xf numFmtId="168" fontId="22" fillId="10" borderId="3" xfId="14" applyNumberFormat="1" applyFont="1" applyFill="1"/>
    <xf numFmtId="166" fontId="22" fillId="0" borderId="0" xfId="14" applyFont="1" applyBorder="1"/>
    <xf numFmtId="166" fontId="22" fillId="10" borderId="4" xfId="16" applyNumberFormat="1" applyFont="1" applyFill="1"/>
    <xf numFmtId="168" fontId="22" fillId="10" borderId="4" xfId="16" applyNumberFormat="1" applyFont="1" applyFill="1"/>
    <xf numFmtId="9" fontId="23" fillId="0" borderId="3" xfId="14" applyNumberFormat="1" applyFont="1" applyAlignment="1">
      <alignment horizontal="right"/>
    </xf>
    <xf numFmtId="167" fontId="20" fillId="0" borderId="0" xfId="19" applyFont="1" applyAlignment="1">
      <alignment horizontal="center"/>
    </xf>
    <xf numFmtId="0" fontId="1" fillId="0" borderId="0" xfId="0" applyFont="1" applyFill="1"/>
    <xf numFmtId="0" fontId="18" fillId="0" borderId="0" xfId="15" applyFont="1" applyFill="1" applyAlignment="1">
      <alignment vertical="center"/>
    </xf>
    <xf numFmtId="0" fontId="21" fillId="0" borderId="0" xfId="13" applyFont="1" applyFill="1">
      <alignment wrapText="1"/>
    </xf>
    <xf numFmtId="166" fontId="25" fillId="0" borderId="0" xfId="17" applyNumberFormat="1" applyFont="1" applyFill="1" applyAlignment="1" applyProtection="1"/>
    <xf numFmtId="14" fontId="26" fillId="0" borderId="0" xfId="18" applyNumberFormat="1" applyFont="1" applyFill="1" applyAlignment="1">
      <alignment horizontal="left" vertical="center"/>
    </xf>
    <xf numFmtId="166" fontId="25" fillId="0" borderId="0" xfId="17" applyNumberFormat="1" applyFont="1" applyFill="1" applyAlignment="1" applyProtection="1">
      <alignment vertical="center"/>
    </xf>
    <xf numFmtId="14" fontId="26" fillId="0" borderId="0" xfId="18" applyNumberFormat="1" applyFont="1" applyAlignment="1">
      <alignment horizontal="left" vertical="center"/>
    </xf>
    <xf numFmtId="166" fontId="25" fillId="0" borderId="0" xfId="17" applyNumberFormat="1" applyFont="1" applyAlignment="1" applyProtection="1">
      <alignment vertical="center"/>
    </xf>
    <xf numFmtId="0" fontId="27" fillId="0" borderId="0" xfId="0" applyFont="1"/>
    <xf numFmtId="0" fontId="19" fillId="0" borderId="0" xfId="0" applyFont="1"/>
    <xf numFmtId="166" fontId="28" fillId="8" borderId="0" xfId="2" applyFont="1" applyFill="1" applyAlignment="1">
      <alignment vertical="center"/>
    </xf>
    <xf numFmtId="170" fontId="28" fillId="8" borderId="0" xfId="19" applyNumberFormat="1" applyFont="1" applyFill="1" applyAlignment="1">
      <alignment vertical="center"/>
    </xf>
    <xf numFmtId="166" fontId="20" fillId="8" borderId="0" xfId="2" applyFont="1" applyFill="1" applyAlignment="1">
      <alignment vertical="center"/>
    </xf>
    <xf numFmtId="166" fontId="20" fillId="8" borderId="0" xfId="2" applyFont="1" applyFill="1"/>
    <xf numFmtId="169" fontId="29" fillId="0" borderId="0" xfId="2" applyNumberFormat="1" applyFont="1" applyFill="1" applyBorder="1" applyAlignment="1">
      <alignment horizontal="left" wrapText="1"/>
    </xf>
    <xf numFmtId="166" fontId="20" fillId="11" borderId="0" xfId="2" applyFont="1" applyFill="1" applyAlignment="1">
      <alignment vertical="center"/>
    </xf>
    <xf numFmtId="166" fontId="20" fillId="11" borderId="0" xfId="2" applyFont="1" applyFill="1" applyAlignment="1">
      <alignment horizontal="center"/>
    </xf>
    <xf numFmtId="14" fontId="20" fillId="11" borderId="0" xfId="2" applyNumberFormat="1" applyFont="1" applyFill="1" applyAlignment="1">
      <alignment horizontal="center" vertical="center"/>
    </xf>
    <xf numFmtId="3" fontId="20" fillId="11" borderId="0" xfId="2" applyNumberFormat="1" applyFont="1" applyFill="1" applyAlignment="1">
      <alignment horizontal="center" vertical="center"/>
    </xf>
    <xf numFmtId="3" fontId="20" fillId="0" borderId="0" xfId="2" applyNumberFormat="1" applyFont="1" applyFill="1" applyAlignment="1">
      <alignment horizontal="center" vertical="center"/>
    </xf>
    <xf numFmtId="166" fontId="20" fillId="0" borderId="0" xfId="2" applyFont="1" applyFill="1" applyAlignment="1">
      <alignment horizontal="center"/>
    </xf>
    <xf numFmtId="169" fontId="30" fillId="0" borderId="0" xfId="2" applyNumberFormat="1" applyFont="1" applyFill="1" applyBorder="1" applyAlignment="1">
      <alignment horizontal="center" wrapText="1"/>
    </xf>
    <xf numFmtId="166" fontId="20" fillId="0" borderId="0" xfId="2" applyFont="1" applyAlignment="1">
      <alignment vertical="center"/>
    </xf>
    <xf numFmtId="3" fontId="20" fillId="0" borderId="0" xfId="2" applyNumberFormat="1" applyFont="1" applyAlignment="1">
      <alignment horizontal="center" vertical="center"/>
    </xf>
    <xf numFmtId="168" fontId="24" fillId="7" borderId="0" xfId="20" applyNumberFormat="1" applyFont="1" applyFill="1" applyAlignment="1">
      <alignment horizontal="center" wrapText="1"/>
    </xf>
    <xf numFmtId="168" fontId="24" fillId="7" borderId="0" xfId="20" applyNumberFormat="1" applyFont="1" applyFill="1" applyBorder="1" applyAlignment="1">
      <alignment horizontal="center" vertical="center"/>
    </xf>
    <xf numFmtId="4" fontId="20" fillId="11" borderId="0" xfId="2" applyNumberFormat="1" applyFont="1" applyFill="1" applyAlignment="1">
      <alignment horizontal="center" vertical="center"/>
    </xf>
    <xf numFmtId="4" fontId="20" fillId="0" borderId="0" xfId="2" applyNumberFormat="1" applyFont="1" applyAlignment="1">
      <alignment horizontal="center" vertical="center"/>
    </xf>
    <xf numFmtId="166" fontId="31" fillId="0" borderId="0" xfId="2" applyFont="1" applyFill="1" applyBorder="1"/>
    <xf numFmtId="167" fontId="20" fillId="0" borderId="0" xfId="19" applyFont="1" applyFill="1"/>
    <xf numFmtId="170" fontId="20" fillId="0" borderId="0" xfId="19" applyNumberFormat="1" applyFont="1" applyFill="1"/>
    <xf numFmtId="4" fontId="31" fillId="0" borderId="0" xfId="2" applyNumberFormat="1" applyFont="1" applyFill="1" applyBorder="1" applyAlignment="1">
      <alignment horizontal="center" vertical="center"/>
    </xf>
    <xf numFmtId="166" fontId="20" fillId="0" borderId="0" xfId="2" applyFont="1" applyFill="1" applyAlignment="1">
      <alignment vertical="center"/>
    </xf>
    <xf numFmtId="166" fontId="22" fillId="0" borderId="3" xfId="14" applyFont="1" applyAlignment="1">
      <alignment vertical="center"/>
    </xf>
    <xf numFmtId="170" fontId="22" fillId="0" borderId="5" xfId="19" applyNumberFormat="1" applyFont="1" applyBorder="1" applyAlignment="1">
      <alignment horizontal="center" vertical="center"/>
    </xf>
    <xf numFmtId="4" fontId="22" fillId="0" borderId="5" xfId="14" applyNumberFormat="1" applyFont="1" applyBorder="1" applyAlignment="1">
      <alignment horizontal="center" vertical="center"/>
    </xf>
    <xf numFmtId="165" fontId="20" fillId="0" borderId="0" xfId="21" applyFont="1" applyFill="1"/>
    <xf numFmtId="166" fontId="22" fillId="0" borderId="5" xfId="14" applyFont="1" applyBorder="1" applyAlignment="1">
      <alignment vertical="center"/>
    </xf>
    <xf numFmtId="166" fontId="20" fillId="0" borderId="0" xfId="2" applyFont="1" applyAlignment="1">
      <alignment horizontal="center" vertical="center"/>
    </xf>
    <xf numFmtId="166" fontId="22" fillId="0" borderId="4" xfId="16" applyNumberFormat="1" applyFont="1" applyAlignment="1">
      <alignment vertical="center"/>
    </xf>
    <xf numFmtId="170" fontId="22" fillId="9" borderId="4" xfId="19" applyNumberFormat="1" applyFont="1" applyFill="1" applyBorder="1" applyAlignment="1">
      <alignment horizontal="center"/>
    </xf>
    <xf numFmtId="170" fontId="22" fillId="0" borderId="4" xfId="19" applyNumberFormat="1" applyFont="1" applyBorder="1" applyAlignment="1">
      <alignment horizontal="center"/>
    </xf>
    <xf numFmtId="4" fontId="22" fillId="0" borderId="8" xfId="19" applyNumberFormat="1" applyFont="1" applyBorder="1" applyAlignment="1">
      <alignment horizontal="center"/>
    </xf>
    <xf numFmtId="169" fontId="32" fillId="0" borderId="25" xfId="2" applyNumberFormat="1" applyFont="1" applyFill="1" applyBorder="1" applyAlignment="1">
      <alignment horizontal="left" wrapText="1"/>
    </xf>
    <xf numFmtId="14" fontId="32" fillId="0" borderId="25" xfId="2" applyNumberFormat="1" applyFont="1" applyFill="1" applyBorder="1" applyAlignment="1">
      <alignment horizontal="center" wrapText="1"/>
    </xf>
    <xf numFmtId="170" fontId="20" fillId="11" borderId="0" xfId="19" applyNumberFormat="1" applyFont="1" applyFill="1" applyAlignment="1">
      <alignment vertical="center"/>
    </xf>
    <xf numFmtId="0" fontId="24" fillId="0" borderId="0" xfId="20" applyNumberFormat="1" applyFont="1" applyFill="1" applyBorder="1" applyAlignment="1">
      <alignment horizontal="left" vertical="center"/>
    </xf>
    <xf numFmtId="49" fontId="24" fillId="0" borderId="0" xfId="20" applyNumberFormat="1" applyFont="1" applyFill="1" applyBorder="1" applyAlignment="1">
      <alignment horizontal="left" vertical="center" wrapText="1"/>
    </xf>
    <xf numFmtId="0" fontId="22" fillId="0" borderId="0" xfId="2" applyNumberFormat="1" applyFont="1" applyFill="1" applyAlignment="1">
      <alignment vertical="center"/>
    </xf>
    <xf numFmtId="165" fontId="20" fillId="0" borderId="0" xfId="21" applyFont="1" applyFill="1" applyAlignment="1">
      <alignment vertical="center"/>
    </xf>
    <xf numFmtId="0" fontId="24" fillId="0" borderId="0" xfId="2" applyNumberFormat="1" applyFont="1" applyFill="1" applyAlignment="1" applyProtection="1"/>
    <xf numFmtId="172" fontId="24" fillId="0" borderId="0" xfId="2" applyNumberFormat="1" applyFont="1" applyFill="1" applyAlignment="1" applyProtection="1">
      <alignment wrapText="1"/>
    </xf>
    <xf numFmtId="170" fontId="20" fillId="0" borderId="0" xfId="19" applyNumberFormat="1" applyFont="1" applyFill="1" applyAlignment="1">
      <alignment vertical="center"/>
    </xf>
    <xf numFmtId="166" fontId="29" fillId="0" borderId="0" xfId="2" applyFont="1" applyFill="1" applyAlignment="1">
      <alignment horizontal="center"/>
    </xf>
    <xf numFmtId="166" fontId="22" fillId="0" borderId="3" xfId="14" applyFont="1" applyFill="1" applyAlignment="1">
      <alignment vertical="center"/>
    </xf>
    <xf numFmtId="170" fontId="22" fillId="0" borderId="3" xfId="19" applyNumberFormat="1" applyFont="1" applyFill="1" applyBorder="1" applyAlignment="1">
      <alignment vertical="center"/>
    </xf>
    <xf numFmtId="170" fontId="22" fillId="11" borderId="3" xfId="19" applyNumberFormat="1" applyFont="1" applyFill="1" applyBorder="1" applyAlignment="1">
      <alignment vertical="center"/>
    </xf>
    <xf numFmtId="172" fontId="24" fillId="0" borderId="0" xfId="2" applyNumberFormat="1" applyFont="1" applyFill="1" applyAlignment="1" applyProtection="1"/>
    <xf numFmtId="172" fontId="24" fillId="0" borderId="0" xfId="2" applyNumberFormat="1" applyFont="1" applyFill="1" applyAlignment="1">
      <alignment wrapText="1"/>
    </xf>
    <xf numFmtId="172" fontId="24" fillId="0" borderId="0" xfId="2" applyNumberFormat="1" applyFont="1" applyFill="1" applyAlignment="1"/>
    <xf numFmtId="171" fontId="20" fillId="0" borderId="0" xfId="19" applyNumberFormat="1" applyFont="1" applyFill="1" applyAlignment="1">
      <alignment vertical="center"/>
    </xf>
    <xf numFmtId="169" fontId="32" fillId="0" borderId="25" xfId="2" applyNumberFormat="1" applyFont="1" applyFill="1" applyBorder="1" applyAlignment="1">
      <alignment horizontal="center" wrapText="1"/>
    </xf>
    <xf numFmtId="169" fontId="33" fillId="0" borderId="0" xfId="2" applyNumberFormat="1" applyFont="1" applyFill="1" applyBorder="1" applyAlignment="1">
      <alignment horizontal="left" wrapText="1"/>
    </xf>
    <xf numFmtId="171" fontId="20" fillId="0" borderId="0" xfId="19" applyNumberFormat="1" applyFont="1" applyFill="1" applyBorder="1" applyAlignment="1">
      <alignment vertical="center"/>
    </xf>
    <xf numFmtId="170" fontId="20" fillId="0" borderId="0" xfId="19" applyNumberFormat="1" applyFont="1" applyFill="1" applyAlignment="1">
      <alignment horizontal="center" vertical="center"/>
    </xf>
    <xf numFmtId="166" fontId="34" fillId="0" borderId="0" xfId="2" applyFont="1" applyFill="1" applyBorder="1" applyAlignment="1">
      <alignment vertical="center"/>
    </xf>
    <xf numFmtId="166" fontId="22" fillId="0" borderId="3" xfId="14" applyFont="1" applyFill="1" applyAlignment="1">
      <alignment horizontal="center" vertical="center"/>
    </xf>
    <xf numFmtId="170" fontId="22" fillId="0" borderId="3" xfId="19" applyNumberFormat="1" applyFont="1" applyFill="1" applyBorder="1" applyAlignment="1">
      <alignment horizontal="center" vertical="center"/>
    </xf>
    <xf numFmtId="171" fontId="33" fillId="0" borderId="0" xfId="19" applyNumberFormat="1" applyFont="1" applyFill="1" applyBorder="1" applyAlignment="1">
      <alignment vertical="center"/>
    </xf>
    <xf numFmtId="166" fontId="20" fillId="0" borderId="0" xfId="2" applyFont="1" applyFill="1" applyAlignment="1">
      <alignment horizontal="center" vertical="center"/>
    </xf>
    <xf numFmtId="166" fontId="22" fillId="0" borderId="4" xfId="16" applyNumberFormat="1" applyFont="1" applyFill="1" applyAlignment="1">
      <alignment vertical="center"/>
    </xf>
    <xf numFmtId="166" fontId="22" fillId="0" borderId="4" xfId="16" applyNumberFormat="1" applyFont="1" applyFill="1" applyAlignment="1">
      <alignment horizontal="center" vertical="center"/>
    </xf>
    <xf numFmtId="170" fontId="22" fillId="0" borderId="4" xfId="19" applyNumberFormat="1" applyFont="1" applyFill="1" applyBorder="1" applyAlignment="1">
      <alignment horizontal="center" vertical="center"/>
    </xf>
    <xf numFmtId="170" fontId="33" fillId="0" borderId="0" xfId="19" applyNumberFormat="1" applyFont="1" applyFill="1" applyBorder="1" applyAlignment="1">
      <alignment vertical="center"/>
    </xf>
    <xf numFmtId="171" fontId="31" fillId="0" borderId="0" xfId="19" applyNumberFormat="1" applyFont="1" applyFill="1" applyBorder="1" applyAlignment="1">
      <alignment vertical="center"/>
    </xf>
    <xf numFmtId="166" fontId="20" fillId="0" borderId="0" xfId="2" applyFont="1" applyFill="1" applyBorder="1" applyAlignment="1">
      <alignment vertical="center"/>
    </xf>
    <xf numFmtId="166" fontId="20" fillId="0" borderId="6" xfId="2" applyFont="1" applyFill="1" applyBorder="1" applyAlignment="1">
      <alignment vertical="center"/>
    </xf>
    <xf numFmtId="3" fontId="20" fillId="11" borderId="6" xfId="2" applyNumberFormat="1" applyFont="1" applyFill="1" applyBorder="1" applyAlignment="1">
      <alignment horizontal="left" vertical="center"/>
    </xf>
    <xf numFmtId="166" fontId="20" fillId="11" borderId="6" xfId="2" applyFont="1" applyFill="1" applyBorder="1" applyAlignment="1">
      <alignment vertical="center"/>
    </xf>
    <xf numFmtId="171" fontId="20" fillId="11" borderId="6" xfId="19" applyNumberFormat="1" applyFont="1" applyFill="1" applyBorder="1" applyAlignment="1">
      <alignment vertical="center"/>
    </xf>
    <xf numFmtId="3" fontId="20" fillId="11" borderId="0" xfId="2" applyNumberFormat="1" applyFont="1" applyFill="1" applyAlignment="1">
      <alignment horizontal="left" vertical="center"/>
    </xf>
    <xf numFmtId="171" fontId="20" fillId="11" borderId="0" xfId="19" applyNumberFormat="1" applyFont="1" applyFill="1" applyAlignment="1">
      <alignment vertical="center"/>
    </xf>
    <xf numFmtId="166" fontId="20" fillId="0" borderId="7" xfId="2" applyFont="1" applyFill="1" applyBorder="1" applyAlignment="1">
      <alignment vertical="center"/>
    </xf>
    <xf numFmtId="3" fontId="20" fillId="11" borderId="7" xfId="2" applyNumberFormat="1" applyFont="1" applyFill="1" applyBorder="1" applyAlignment="1">
      <alignment horizontal="left" vertical="center"/>
    </xf>
    <xf numFmtId="166" fontId="20" fillId="11" borderId="7" xfId="2" applyFont="1" applyFill="1" applyBorder="1" applyAlignment="1">
      <alignment vertical="center"/>
    </xf>
    <xf numFmtId="171" fontId="20" fillId="11" borderId="7" xfId="19" applyNumberFormat="1" applyFont="1" applyFill="1" applyBorder="1" applyAlignment="1">
      <alignment vertical="center"/>
    </xf>
    <xf numFmtId="3" fontId="20" fillId="0" borderId="0" xfId="2" applyNumberFormat="1" applyFont="1" applyFill="1" applyAlignment="1">
      <alignment horizontal="left" vertical="center"/>
    </xf>
    <xf numFmtId="1" fontId="20" fillId="11" borderId="6" xfId="2" applyNumberFormat="1" applyFont="1" applyFill="1" applyBorder="1" applyAlignment="1">
      <alignment horizontal="left" vertical="center"/>
    </xf>
    <xf numFmtId="1" fontId="20" fillId="11" borderId="0" xfId="2" applyNumberFormat="1" applyFont="1" applyFill="1" applyAlignment="1">
      <alignment horizontal="left" vertical="center"/>
    </xf>
    <xf numFmtId="169" fontId="29" fillId="0" borderId="0" xfId="2" applyNumberFormat="1" applyFont="1" applyFill="1" applyAlignment="1">
      <alignment horizontal="center"/>
    </xf>
    <xf numFmtId="166" fontId="26" fillId="0" borderId="0" xfId="18" applyNumberFormat="1" applyFont="1" applyFill="1" applyAlignment="1">
      <alignment vertical="center"/>
    </xf>
    <xf numFmtId="172" fontId="24" fillId="0" borderId="0" xfId="2" applyNumberFormat="1" applyFont="1" applyFill="1" applyAlignment="1">
      <alignment readingOrder="1"/>
    </xf>
    <xf numFmtId="0" fontId="35" fillId="0" borderId="0" xfId="15" applyFont="1" applyAlignment="1">
      <alignment horizontal="left" vertical="center"/>
    </xf>
    <xf numFmtId="166" fontId="36" fillId="0" borderId="0" xfId="2" applyFont="1" applyFill="1" applyBorder="1" applyAlignment="1">
      <alignment horizontal="left"/>
    </xf>
    <xf numFmtId="166" fontId="32" fillId="0" borderId="0" xfId="2" applyFont="1" applyFill="1" applyBorder="1" applyAlignment="1">
      <alignment horizontal="left"/>
    </xf>
    <xf numFmtId="166" fontId="37" fillId="0" borderId="0" xfId="2" applyFont="1"/>
    <xf numFmtId="166" fontId="38" fillId="0" borderId="0" xfId="2" applyFont="1" applyFill="1" applyBorder="1" applyAlignment="1">
      <alignment horizontal="left"/>
    </xf>
    <xf numFmtId="0" fontId="21" fillId="0" borderId="2" xfId="12" applyFont="1" applyFill="1" applyBorder="1" applyAlignment="1">
      <alignment horizontal="center" wrapText="1"/>
    </xf>
    <xf numFmtId="166" fontId="24" fillId="0" borderId="0" xfId="2" applyFont="1" applyFill="1" applyBorder="1" applyAlignment="1">
      <alignment horizontal="left"/>
    </xf>
    <xf numFmtId="170" fontId="36" fillId="12" borderId="0" xfId="19" applyNumberFormat="1" applyFont="1" applyFill="1" applyBorder="1" applyAlignment="1">
      <alignment horizontal="center"/>
    </xf>
    <xf numFmtId="170" fontId="24" fillId="11" borderId="0" xfId="19" applyNumberFormat="1" applyFont="1" applyFill="1" applyBorder="1" applyAlignment="1">
      <alignment horizontal="center"/>
    </xf>
    <xf numFmtId="168" fontId="20" fillId="11" borderId="0" xfId="24" applyNumberFormat="1" applyFont="1" applyFill="1" applyAlignment="1">
      <alignment horizontal="center"/>
    </xf>
    <xf numFmtId="170" fontId="24" fillId="0" borderId="0" xfId="19" applyNumberFormat="1" applyFont="1" applyFill="1" applyBorder="1" applyAlignment="1">
      <alignment horizontal="center"/>
    </xf>
    <xf numFmtId="168" fontId="20" fillId="11" borderId="0" xfId="24" applyNumberFormat="1" applyFont="1" applyFill="1" applyBorder="1" applyAlignment="1">
      <alignment horizontal="center"/>
    </xf>
    <xf numFmtId="170" fontId="36" fillId="12" borderId="25" xfId="19" applyNumberFormat="1" applyFont="1" applyFill="1" applyBorder="1" applyAlignment="1">
      <alignment horizontal="center"/>
    </xf>
    <xf numFmtId="170" fontId="24" fillId="11" borderId="25" xfId="19" applyNumberFormat="1" applyFont="1" applyFill="1" applyBorder="1" applyAlignment="1">
      <alignment horizontal="center"/>
    </xf>
    <xf numFmtId="168" fontId="20" fillId="11" borderId="25" xfId="24" applyNumberFormat="1" applyFont="1" applyFill="1" applyBorder="1" applyAlignment="1">
      <alignment horizontal="center"/>
    </xf>
    <xf numFmtId="166" fontId="20" fillId="0" borderId="0" xfId="2" applyFont="1" applyBorder="1"/>
    <xf numFmtId="168" fontId="20" fillId="0" borderId="0" xfId="24" applyNumberFormat="1" applyFont="1"/>
    <xf numFmtId="0" fontId="21" fillId="0" borderId="2" xfId="12" applyFont="1" applyAlignment="1">
      <alignment horizontal="center" wrapText="1"/>
    </xf>
    <xf numFmtId="0" fontId="21" fillId="0" borderId="31" xfId="12" applyFont="1" applyFill="1" applyBorder="1" applyAlignment="1">
      <alignment horizontal="center" wrapText="1"/>
    </xf>
    <xf numFmtId="0" fontId="21" fillId="0" borderId="2" xfId="12" applyFont="1" applyFill="1" applyAlignment="1">
      <alignment horizontal="center" wrapText="1"/>
    </xf>
    <xf numFmtId="166" fontId="36" fillId="0" borderId="0" xfId="2" applyFont="1" applyFill="1" applyBorder="1" applyAlignment="1">
      <alignment horizontal="center"/>
    </xf>
    <xf numFmtId="174" fontId="36" fillId="0" borderId="0" xfId="2" applyNumberFormat="1" applyFont="1" applyFill="1" applyBorder="1" applyAlignment="1">
      <alignment horizontal="left"/>
    </xf>
    <xf numFmtId="174" fontId="36" fillId="0" borderId="0" xfId="2" applyNumberFormat="1" applyFont="1" applyFill="1" applyBorder="1" applyAlignment="1">
      <alignment horizontal="center"/>
    </xf>
    <xf numFmtId="174" fontId="36" fillId="0" borderId="33" xfId="2" applyNumberFormat="1" applyFont="1" applyFill="1" applyBorder="1" applyAlignment="1">
      <alignment horizontal="center"/>
    </xf>
    <xf numFmtId="174" fontId="36" fillId="0" borderId="13" xfId="2" applyNumberFormat="1" applyFont="1" applyFill="1" applyBorder="1" applyAlignment="1">
      <alignment horizontal="center"/>
    </xf>
    <xf numFmtId="174" fontId="24" fillId="0" borderId="0" xfId="2" applyNumberFormat="1" applyFont="1" applyFill="1" applyBorder="1"/>
    <xf numFmtId="174" fontId="24" fillId="0" borderId="0" xfId="2" applyNumberFormat="1" applyFont="1" applyFill="1" applyBorder="1" applyAlignment="1">
      <alignment horizontal="left"/>
    </xf>
    <xf numFmtId="174" fontId="24" fillId="0" borderId="0" xfId="2" applyNumberFormat="1" applyFont="1" applyFill="1" applyBorder="1" applyAlignment="1">
      <alignment horizontal="center"/>
    </xf>
    <xf numFmtId="174" fontId="24" fillId="0" borderId="34" xfId="2" applyNumberFormat="1" applyFont="1" applyFill="1" applyBorder="1" applyAlignment="1">
      <alignment horizontal="center"/>
    </xf>
    <xf numFmtId="174" fontId="24" fillId="0" borderId="9" xfId="2" applyNumberFormat="1" applyFont="1" applyFill="1" applyBorder="1" applyAlignment="1">
      <alignment horizontal="center"/>
    </xf>
    <xf numFmtId="175" fontId="24" fillId="0" borderId="0" xfId="2" applyNumberFormat="1" applyFont="1" applyFill="1" applyBorder="1"/>
    <xf numFmtId="174" fontId="22" fillId="0" borderId="3" xfId="14" applyNumberFormat="1" applyFont="1" applyFill="1" applyAlignment="1">
      <alignment horizontal="left"/>
    </xf>
    <xf numFmtId="174" fontId="22" fillId="0" borderId="3" xfId="14" applyNumberFormat="1" applyFont="1" applyFill="1" applyAlignment="1">
      <alignment horizontal="center"/>
    </xf>
    <xf numFmtId="174" fontId="22" fillId="0" borderId="35" xfId="14" applyNumberFormat="1" applyFont="1" applyFill="1" applyBorder="1" applyAlignment="1">
      <alignment horizontal="center"/>
    </xf>
    <xf numFmtId="174" fontId="36" fillId="0" borderId="0" xfId="2" applyNumberFormat="1" applyFont="1" applyFill="1" applyBorder="1"/>
    <xf numFmtId="175" fontId="24" fillId="0" borderId="0" xfId="2" applyNumberFormat="1" applyFont="1" applyFill="1" applyBorder="1" applyAlignment="1">
      <alignment horizontal="center"/>
    </xf>
    <xf numFmtId="174" fontId="24" fillId="0" borderId="32" xfId="2" applyNumberFormat="1" applyFont="1" applyFill="1" applyBorder="1" applyAlignment="1">
      <alignment horizontal="center"/>
    </xf>
    <xf numFmtId="177" fontId="24" fillId="0" borderId="0" xfId="21" applyNumberFormat="1" applyFont="1" applyFill="1" applyBorder="1" applyAlignment="1">
      <alignment horizontal="center"/>
    </xf>
    <xf numFmtId="174" fontId="36" fillId="0" borderId="32" xfId="2" applyNumberFormat="1" applyFont="1" applyFill="1" applyBorder="1" applyAlignment="1">
      <alignment horizontal="center"/>
    </xf>
    <xf numFmtId="43" fontId="36" fillId="0" borderId="0" xfId="21" applyNumberFormat="1" applyFont="1" applyFill="1" applyBorder="1" applyAlignment="1">
      <alignment horizontal="center"/>
    </xf>
    <xf numFmtId="3" fontId="24" fillId="0" borderId="0" xfId="2" applyNumberFormat="1" applyFont="1" applyFill="1" applyBorder="1" applyAlignment="1">
      <alignment horizontal="center"/>
    </xf>
    <xf numFmtId="3" fontId="24" fillId="0" borderId="32" xfId="2" applyNumberFormat="1" applyFont="1" applyFill="1" applyBorder="1" applyAlignment="1">
      <alignment horizontal="center"/>
    </xf>
    <xf numFmtId="174" fontId="22" fillId="0" borderId="4" xfId="16" applyNumberFormat="1" applyFont="1" applyFill="1" applyAlignment="1">
      <alignment horizontal="left"/>
    </xf>
    <xf numFmtId="3" fontId="22" fillId="0" borderId="4" xfId="16" applyNumberFormat="1" applyFont="1" applyFill="1" applyAlignment="1">
      <alignment horizontal="center"/>
    </xf>
    <xf numFmtId="3" fontId="22" fillId="0" borderId="36" xfId="16" applyNumberFormat="1" applyFont="1" applyFill="1" applyBorder="1" applyAlignment="1">
      <alignment horizontal="center"/>
    </xf>
    <xf numFmtId="177" fontId="22" fillId="0" borderId="4" xfId="16" applyNumberFormat="1" applyFont="1" applyFill="1" applyAlignment="1">
      <alignment horizontal="center"/>
    </xf>
    <xf numFmtId="168" fontId="23" fillId="0" borderId="3" xfId="14" applyNumberFormat="1" applyFont="1" applyAlignment="1">
      <alignment horizontal="center"/>
    </xf>
    <xf numFmtId="177" fontId="24" fillId="0" borderId="32" xfId="21" applyNumberFormat="1" applyFont="1" applyFill="1" applyBorder="1" applyAlignment="1">
      <alignment horizontal="center"/>
    </xf>
    <xf numFmtId="174" fontId="22" fillId="0" borderId="4" xfId="16" applyNumberFormat="1" applyFont="1" applyFill="1" applyAlignment="1">
      <alignment horizontal="center"/>
    </xf>
    <xf numFmtId="170" fontId="22" fillId="0" borderId="4" xfId="16" applyNumberFormat="1" applyFont="1" applyFill="1" applyAlignment="1">
      <alignment horizontal="center"/>
    </xf>
    <xf numFmtId="168" fontId="22" fillId="0" borderId="36" xfId="24" applyNumberFormat="1" applyFont="1" applyFill="1" applyBorder="1" applyAlignment="1">
      <alignment horizontal="center"/>
    </xf>
    <xf numFmtId="180" fontId="24" fillId="0" borderId="32" xfId="21" applyNumberFormat="1" applyFont="1" applyFill="1" applyBorder="1" applyAlignment="1">
      <alignment horizontal="center"/>
    </xf>
    <xf numFmtId="180" fontId="24" fillId="0" borderId="0" xfId="21" applyNumberFormat="1" applyFont="1" applyFill="1" applyBorder="1" applyAlignment="1">
      <alignment horizontal="center"/>
    </xf>
    <xf numFmtId="176" fontId="24" fillId="0" borderId="32" xfId="21" applyNumberFormat="1" applyFont="1" applyFill="1" applyBorder="1" applyAlignment="1">
      <alignment horizontal="center"/>
    </xf>
    <xf numFmtId="176" fontId="24" fillId="0" borderId="0" xfId="21" applyNumberFormat="1" applyFont="1" applyFill="1" applyBorder="1" applyAlignment="1">
      <alignment horizontal="center"/>
    </xf>
    <xf numFmtId="2" fontId="24" fillId="0" borderId="0" xfId="2" applyNumberFormat="1" applyFont="1" applyFill="1" applyBorder="1" applyAlignment="1">
      <alignment horizontal="center"/>
    </xf>
    <xf numFmtId="181" fontId="24" fillId="0" borderId="32" xfId="21" applyNumberFormat="1" applyFont="1" applyFill="1" applyBorder="1" applyAlignment="1">
      <alignment horizontal="center"/>
    </xf>
    <xf numFmtId="181" fontId="24" fillId="0" borderId="0" xfId="21" applyNumberFormat="1" applyFont="1" applyFill="1" applyBorder="1" applyAlignment="1">
      <alignment horizontal="center"/>
    </xf>
    <xf numFmtId="181" fontId="24" fillId="0" borderId="9" xfId="21" applyNumberFormat="1" applyFont="1" applyFill="1" applyBorder="1" applyAlignment="1">
      <alignment horizontal="center"/>
    </xf>
    <xf numFmtId="1" fontId="24" fillId="0" borderId="0" xfId="2" applyNumberFormat="1" applyFont="1" applyFill="1" applyBorder="1" applyAlignment="1">
      <alignment horizontal="center"/>
    </xf>
    <xf numFmtId="3" fontId="24" fillId="0" borderId="32" xfId="21" applyNumberFormat="1" applyFont="1" applyFill="1" applyBorder="1" applyAlignment="1">
      <alignment horizontal="center"/>
    </xf>
    <xf numFmtId="3" fontId="24" fillId="0" borderId="0" xfId="21" applyNumberFormat="1" applyFont="1" applyFill="1" applyBorder="1" applyAlignment="1">
      <alignment horizontal="center"/>
    </xf>
    <xf numFmtId="0" fontId="21" fillId="0" borderId="31" xfId="12" applyFont="1" applyBorder="1" applyAlignment="1">
      <alignment horizontal="center" wrapText="1"/>
    </xf>
    <xf numFmtId="3" fontId="24" fillId="0" borderId="0" xfId="19" applyNumberFormat="1" applyFont="1" applyFill="1" applyBorder="1" applyAlignment="1">
      <alignment horizontal="center"/>
    </xf>
    <xf numFmtId="2" fontId="24" fillId="0" borderId="0" xfId="19" applyNumberFormat="1" applyFont="1" applyFill="1" applyBorder="1" applyAlignment="1">
      <alignment horizontal="center"/>
    </xf>
    <xf numFmtId="178" fontId="24" fillId="0" borderId="0" xfId="21" applyNumberFormat="1" applyFont="1" applyFill="1" applyBorder="1" applyAlignment="1">
      <alignment horizontal="center"/>
    </xf>
    <xf numFmtId="2" fontId="21" fillId="0" borderId="2" xfId="12" applyNumberFormat="1" applyFont="1" applyAlignment="1">
      <alignment horizontal="center" wrapText="1"/>
    </xf>
    <xf numFmtId="0" fontId="21" fillId="0" borderId="2" xfId="12" applyFont="1" applyBorder="1" applyAlignment="1">
      <alignment horizontal="center" wrapText="1"/>
    </xf>
    <xf numFmtId="174" fontId="36" fillId="0" borderId="14" xfId="2" applyNumberFormat="1" applyFont="1" applyFill="1" applyBorder="1" applyAlignment="1">
      <alignment horizontal="left"/>
    </xf>
    <xf numFmtId="2" fontId="24" fillId="0" borderId="15" xfId="19" applyNumberFormat="1" applyFont="1" applyFill="1" applyBorder="1" applyAlignment="1">
      <alignment horizontal="center"/>
    </xf>
    <xf numFmtId="177" fontId="24" fillId="0" borderId="15" xfId="21" applyNumberFormat="1" applyFont="1" applyFill="1" applyBorder="1" applyAlignment="1">
      <alignment horizontal="center"/>
    </xf>
    <xf numFmtId="177" fontId="24" fillId="0" borderId="17" xfId="21" applyNumberFormat="1" applyFont="1" applyFill="1" applyBorder="1" applyAlignment="1">
      <alignment horizontal="center"/>
    </xf>
    <xf numFmtId="174" fontId="24" fillId="0" borderId="10" xfId="2" applyNumberFormat="1" applyFont="1" applyFill="1" applyBorder="1"/>
    <xf numFmtId="174" fontId="39" fillId="0" borderId="19" xfId="2" applyNumberFormat="1" applyFont="1" applyFill="1" applyBorder="1" applyAlignment="1">
      <alignment horizontal="left"/>
    </xf>
    <xf numFmtId="170" fontId="24" fillId="11" borderId="20" xfId="19" applyNumberFormat="1" applyFont="1" applyFill="1" applyBorder="1" applyAlignment="1">
      <alignment horizontal="center"/>
    </xf>
    <xf numFmtId="170" fontId="24" fillId="11" borderId="21" xfId="19" applyNumberFormat="1" applyFont="1" applyFill="1" applyBorder="1" applyAlignment="1">
      <alignment horizontal="center"/>
    </xf>
    <xf numFmtId="170" fontId="24" fillId="11" borderId="22" xfId="19" applyNumberFormat="1" applyFont="1" applyFill="1" applyBorder="1" applyAlignment="1">
      <alignment horizontal="center"/>
    </xf>
    <xf numFmtId="3" fontId="24" fillId="0" borderId="27" xfId="2" applyNumberFormat="1" applyFont="1" applyFill="1" applyBorder="1" applyAlignment="1">
      <alignment horizontal="center"/>
    </xf>
    <xf numFmtId="3" fontId="24" fillId="0" borderId="18" xfId="2" applyNumberFormat="1" applyFont="1" applyFill="1" applyBorder="1" applyAlignment="1">
      <alignment horizontal="center"/>
    </xf>
    <xf numFmtId="3" fontId="24" fillId="0" borderId="29" xfId="2" applyNumberFormat="1" applyFont="1" applyFill="1" applyBorder="1" applyAlignment="1">
      <alignment horizontal="center"/>
    </xf>
    <xf numFmtId="170" fontId="24" fillId="0" borderId="22" xfId="19" applyNumberFormat="1" applyFont="1" applyFill="1" applyBorder="1" applyAlignment="1">
      <alignment horizontal="center"/>
    </xf>
    <xf numFmtId="3" fontId="24" fillId="0" borderId="28" xfId="2" applyNumberFormat="1" applyFont="1" applyFill="1" applyBorder="1" applyAlignment="1">
      <alignment horizontal="center"/>
    </xf>
    <xf numFmtId="3" fontId="24" fillId="0" borderId="23" xfId="2" applyNumberFormat="1" applyFont="1" applyFill="1" applyBorder="1" applyAlignment="1">
      <alignment horizontal="center"/>
    </xf>
    <xf numFmtId="3" fontId="36" fillId="0" borderId="0" xfId="2" applyNumberFormat="1" applyFont="1" applyFill="1" applyBorder="1" applyAlignment="1">
      <alignment horizontal="center"/>
    </xf>
    <xf numFmtId="174" fontId="24" fillId="0" borderId="16" xfId="2" applyNumberFormat="1" applyFont="1" applyFill="1" applyBorder="1"/>
    <xf numFmtId="170" fontId="24" fillId="11" borderId="24" xfId="19" applyNumberFormat="1" applyFont="1" applyFill="1" applyBorder="1" applyAlignment="1">
      <alignment horizontal="center"/>
    </xf>
    <xf numFmtId="3" fontId="24" fillId="0" borderId="30" xfId="2" applyNumberFormat="1" applyFont="1" applyFill="1" applyBorder="1" applyAlignment="1">
      <alignment horizontal="center"/>
    </xf>
    <xf numFmtId="3" fontId="24" fillId="0" borderId="25" xfId="2" applyNumberFormat="1" applyFont="1" applyFill="1" applyBorder="1" applyAlignment="1">
      <alignment horizontal="center"/>
    </xf>
    <xf numFmtId="3" fontId="24" fillId="0" borderId="26" xfId="2" applyNumberFormat="1" applyFont="1" applyFill="1" applyBorder="1" applyAlignment="1">
      <alignment horizontal="center"/>
    </xf>
    <xf numFmtId="170" fontId="24" fillId="0" borderId="24" xfId="19" applyNumberFormat="1" applyFont="1" applyFill="1" applyBorder="1" applyAlignment="1">
      <alignment horizontal="center"/>
    </xf>
    <xf numFmtId="174" fontId="24" fillId="0" borderId="15" xfId="2" applyNumberFormat="1" applyFont="1" applyFill="1" applyBorder="1" applyAlignment="1">
      <alignment horizontal="left"/>
    </xf>
    <xf numFmtId="2" fontId="24" fillId="0" borderId="15" xfId="2" applyNumberFormat="1" applyFont="1" applyFill="1" applyBorder="1" applyAlignment="1">
      <alignment horizontal="center"/>
    </xf>
    <xf numFmtId="174" fontId="24" fillId="0" borderId="10" xfId="2" applyNumberFormat="1" applyFont="1" applyFill="1" applyBorder="1" applyAlignment="1">
      <alignment horizontal="left"/>
    </xf>
    <xf numFmtId="170" fontId="24" fillId="0" borderId="20" xfId="19" applyNumberFormat="1" applyFont="1" applyFill="1" applyBorder="1" applyAlignment="1">
      <alignment horizontal="center"/>
    </xf>
    <xf numFmtId="170" fontId="24" fillId="0" borderId="21" xfId="19" applyNumberFormat="1" applyFont="1" applyFill="1" applyBorder="1" applyAlignment="1">
      <alignment horizontal="center"/>
    </xf>
    <xf numFmtId="174" fontId="24" fillId="0" borderId="16" xfId="2" applyNumberFormat="1" applyFont="1" applyFill="1" applyBorder="1" applyAlignment="1">
      <alignment horizontal="left"/>
    </xf>
    <xf numFmtId="174" fontId="36" fillId="0" borderId="0" xfId="2" applyNumberFormat="1" applyFont="1" applyFill="1" applyBorder="1" applyAlignment="1">
      <alignment horizontal="center" textRotation="90" wrapText="1"/>
    </xf>
    <xf numFmtId="168" fontId="24" fillId="0" borderId="0" xfId="19" applyNumberFormat="1" applyFont="1" applyFill="1" applyBorder="1" applyAlignment="1">
      <alignment horizontal="center"/>
    </xf>
    <xf numFmtId="0" fontId="21" fillId="0" borderId="0" xfId="12" applyFont="1" applyBorder="1" applyAlignment="1">
      <alignment horizontal="left" wrapText="1"/>
    </xf>
    <xf numFmtId="0" fontId="21" fillId="0" borderId="0" xfId="12" applyFont="1" applyBorder="1" applyAlignment="1">
      <alignment horizontal="center" wrapText="1"/>
    </xf>
    <xf numFmtId="179" fontId="24" fillId="0" borderId="0" xfId="2" applyNumberFormat="1" applyFont="1" applyFill="1" applyBorder="1" applyAlignment="1">
      <alignment horizontal="center"/>
    </xf>
    <xf numFmtId="10" fontId="24" fillId="0" borderId="0" xfId="2" applyNumberFormat="1" applyFont="1" applyFill="1" applyBorder="1" applyAlignment="1">
      <alignment horizontal="center"/>
    </xf>
    <xf numFmtId="0" fontId="5" fillId="0" borderId="0" xfId="22" applyFont="1"/>
    <xf numFmtId="2" fontId="5" fillId="0" borderId="0" xfId="22" applyNumberFormat="1" applyFont="1" applyFill="1"/>
    <xf numFmtId="182" fontId="5" fillId="0" borderId="37" xfId="22" applyNumberFormat="1" applyFont="1" applyBorder="1"/>
    <xf numFmtId="168" fontId="5" fillId="0" borderId="11" xfId="22" applyNumberFormat="1" applyFont="1" applyBorder="1"/>
    <xf numFmtId="168" fontId="5" fillId="0" borderId="12" xfId="22" applyNumberFormat="1" applyFont="1" applyBorder="1"/>
    <xf numFmtId="1" fontId="5" fillId="0" borderId="0" xfId="22" applyNumberFormat="1" applyFont="1"/>
    <xf numFmtId="3" fontId="5" fillId="0" borderId="0" xfId="22" applyNumberFormat="1" applyFont="1"/>
    <xf numFmtId="182" fontId="40" fillId="0" borderId="0" xfId="23" applyNumberFormat="1" applyFont="1"/>
    <xf numFmtId="0" fontId="5" fillId="0" borderId="0" xfId="22" applyFont="1" applyFill="1"/>
    <xf numFmtId="1" fontId="5" fillId="13" borderId="0" xfId="22" applyNumberFormat="1" applyFont="1" applyFill="1"/>
    <xf numFmtId="0" fontId="5" fillId="0" borderId="0" xfId="22" applyFont="1" applyFill="1" applyAlignment="1">
      <alignment wrapText="1"/>
    </xf>
    <xf numFmtId="3" fontId="5" fillId="13" borderId="0" xfId="22" applyNumberFormat="1" applyFont="1" applyFill="1"/>
    <xf numFmtId="0" fontId="5" fillId="0" borderId="0" xfId="22" applyFont="1" applyAlignment="1">
      <alignment wrapText="1"/>
    </xf>
    <xf numFmtId="0" fontId="5" fillId="0" borderId="0" xfId="22" applyFont="1" applyBorder="1" applyAlignment="1">
      <alignment horizontal="center"/>
    </xf>
    <xf numFmtId="0" fontId="5" fillId="0" borderId="0" xfId="22" applyFont="1" applyBorder="1"/>
    <xf numFmtId="0" fontId="5" fillId="0" borderId="0" xfId="22" applyFont="1" applyAlignment="1">
      <alignment horizontal="center"/>
    </xf>
    <xf numFmtId="3" fontId="24" fillId="0" borderId="0" xfId="2" applyNumberFormat="1" applyFont="1" applyFill="1" applyBorder="1" applyAlignment="1">
      <alignment horizontal="center" vertical="center"/>
    </xf>
    <xf numFmtId="3" fontId="24" fillId="0" borderId="9" xfId="2" applyNumberFormat="1" applyFont="1" applyFill="1" applyBorder="1" applyAlignment="1">
      <alignment horizontal="center" vertical="center"/>
    </xf>
    <xf numFmtId="174" fontId="36" fillId="11" borderId="0" xfId="2" applyNumberFormat="1" applyFont="1" applyFill="1" applyBorder="1" applyAlignment="1">
      <alignment horizontal="center" textRotation="90" wrapText="1"/>
    </xf>
    <xf numFmtId="174" fontId="36" fillId="11" borderId="11" xfId="2" applyNumberFormat="1" applyFont="1" applyFill="1" applyBorder="1" applyAlignment="1">
      <alignment horizontal="center" textRotation="90" wrapText="1"/>
    </xf>
    <xf numFmtId="2" fontId="36" fillId="11" borderId="0" xfId="2" applyNumberFormat="1" applyFont="1" applyFill="1" applyBorder="1" applyAlignment="1">
      <alignment horizontal="center"/>
    </xf>
    <xf numFmtId="2" fontId="36" fillId="11" borderId="12" xfId="2" applyNumberFormat="1" applyFont="1" applyFill="1" applyBorder="1" applyAlignment="1">
      <alignment horizontal="center"/>
    </xf>
    <xf numFmtId="2" fontId="36" fillId="0" borderId="15" xfId="2" applyNumberFormat="1" applyFont="1" applyFill="1" applyBorder="1" applyAlignment="1">
      <alignment horizontal="center"/>
    </xf>
    <xf numFmtId="2" fontId="36" fillId="0" borderId="17" xfId="2" applyNumberFormat="1" applyFont="1" applyFill="1" applyBorder="1" applyAlignment="1">
      <alignment horizontal="center"/>
    </xf>
    <xf numFmtId="174" fontId="36" fillId="0" borderId="0" xfId="2" applyNumberFormat="1" applyFont="1" applyFill="1" applyBorder="1" applyAlignment="1">
      <alignment horizontal="center" textRotation="90" wrapText="1"/>
    </xf>
    <xf numFmtId="174" fontId="36" fillId="0" borderId="11" xfId="2" applyNumberFormat="1" applyFont="1" applyFill="1" applyBorder="1" applyAlignment="1">
      <alignment horizontal="center" textRotation="90" wrapText="1"/>
    </xf>
    <xf numFmtId="2" fontId="36" fillId="0" borderId="0" xfId="2" applyNumberFormat="1" applyFont="1" applyFill="1" applyBorder="1" applyAlignment="1">
      <alignment horizontal="center"/>
    </xf>
    <xf numFmtId="2" fontId="36" fillId="0" borderId="12" xfId="2" applyNumberFormat="1" applyFont="1" applyFill="1" applyBorder="1" applyAlignment="1">
      <alignment horizontal="center"/>
    </xf>
  </cellXfs>
  <cellStyles count="25">
    <cellStyle name="Bad 2" xfId="4"/>
    <cellStyle name="Comma" xfId="1" builtinId="3"/>
    <cellStyle name="Comma 2" xfId="23"/>
    <cellStyle name="Comma 3" xfId="21"/>
    <cellStyle name="Explanatory Text 2" xfId="18"/>
    <cellStyle name="Good 2" xfId="3"/>
    <cellStyle name="Hyperlink" xfId="17" builtinId="8"/>
    <cellStyle name="Normal" xfId="0" builtinId="0"/>
    <cellStyle name="Normal 2" xfId="22"/>
    <cellStyle name="Normal 3" xfId="20"/>
    <cellStyle name="Normal 4" xfId="2"/>
    <cellStyle name="Note 2" xfId="5"/>
    <cellStyle name="Percent" xfId="24" builtinId="5"/>
    <cellStyle name="Percent 2" xfId="19"/>
    <cellStyle name="Smart Bold" xfId="6"/>
    <cellStyle name="Smart Forecast" xfId="7"/>
    <cellStyle name="Smart General" xfId="8"/>
    <cellStyle name="Smart Highlight" xfId="9"/>
    <cellStyle name="Smart Percent" xfId="10"/>
    <cellStyle name="Smart Source" xfId="11"/>
    <cellStyle name="Smart Subtitle 1" xfId="12"/>
    <cellStyle name="Smart Subtitle 2" xfId="13"/>
    <cellStyle name="Smart Subtotal" xfId="14"/>
    <cellStyle name="Smart Title" xfId="15"/>
    <cellStyle name="Smart Total" xfId="16"/>
  </cellStyles>
  <dxfs count="5"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00FFFF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19968722154531E-2"/>
          <c:y val="0.10566686877237001"/>
          <c:w val="0.78184502918659415"/>
          <c:h val="0.77823941438880406"/>
        </c:manualLayout>
      </c:layout>
      <c:scatterChart>
        <c:scatterStyle val="lineMarker"/>
        <c:varyColors val="0"/>
        <c:ser>
          <c:idx val="0"/>
          <c:order val="0"/>
          <c:tx>
            <c:v>0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/>
              <c:tx>
                <c:strRef>
                  <c:f>'Sensitivity Analysis'!$C$22</c:f>
                  <c:strCache>
                    <c:ptCount val="1"/>
                    <c:pt idx="0">
                      <c:v>225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{9C747A68-3F4B-4230-BC31-CE0E3D9C8B23}</c15:txfldGUID>
                      <c15:f>'Sensitivity Analysis'!$C$22</c15:f>
                      <c15:dlblFieldTableCache>
                        <c:ptCount val="1"/>
                        <c:pt idx="0">
                          <c:v>225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layout/>
              <c:tx>
                <c:strRef>
                  <c:f>'Sensitivity Analysis'!$C$23</c:f>
                  <c:strCache>
                    <c:ptCount val="1"/>
                    <c:pt idx="0">
                      <c:v>235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{9C98452F-449E-492F-A778-761FC7024C06}</c15:txfldGUID>
                      <c15:f>'Sensitivity Analysis'!$C$23</c15:f>
                      <c15:dlblFieldTableCache>
                        <c:ptCount val="1"/>
                        <c:pt idx="0">
                          <c:v>235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/>
              <c:tx>
                <c:strRef>
                  <c:f>'Sensitivity Analysis'!$C$24</c:f>
                  <c:strCache>
                    <c:ptCount val="1"/>
                    <c:pt idx="0">
                      <c:v>246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{0A654F2E-2125-47B8-8856-8C1124E3E847}</c15:txfldGUID>
                      <c15:f>'Sensitivity Analysis'!$C$24</c15:f>
                      <c15:dlblFieldTableCache>
                        <c:ptCount val="1"/>
                        <c:pt idx="0">
                          <c:v>246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layout/>
              <c:tx>
                <c:strRef>
                  <c:f>'Sensitivity Analysis'!$C$25</c:f>
                  <c:strCache>
                    <c:ptCount val="1"/>
                    <c:pt idx="0">
                      <c:v>258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{CF545844-48ED-4A13-A340-E47E51BD2258}</c15:txfldGUID>
                      <c15:f>'Sensitivity Analysis'!$C$25</c15:f>
                      <c15:dlblFieldTableCache>
                        <c:ptCount val="1"/>
                        <c:pt idx="0">
                          <c:v>258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layout/>
              <c:tx>
                <c:strRef>
                  <c:f>'Sensitivity Analysis'!$C$26</c:f>
                  <c:strCache>
                    <c:ptCount val="1"/>
                    <c:pt idx="0">
                      <c:v>272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{62700272-C345-4BC3-87B8-92D9758636B7}</c15:txfldGUID>
                      <c15:f>'Sensitivity Analysis'!$C$26</c15:f>
                      <c15:dlblFieldTableCache>
                        <c:ptCount val="1"/>
                        <c:pt idx="0">
                          <c:v>272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"/>
              <c:layout/>
              <c:tx>
                <c:strRef>
                  <c:f>'Sensitivity Analysis'!$C$27</c:f>
                  <c:strCache>
                    <c:ptCount val="1"/>
                    <c:pt idx="0">
                      <c:v>237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{7BC54123-E0EE-416B-8541-F9BD01AC50B2}</c15:txfldGUID>
                      <c15:f>'Sensitivity Analysis'!$C$27</c15:f>
                      <c15:dlblFieldTableCache>
                        <c:ptCount val="1"/>
                        <c:pt idx="0">
                          <c:v>237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"/>
              <c:layout/>
              <c:tx>
                <c:strRef>
                  <c:f>'Sensitivity Analysis'!$C$28</c:f>
                  <c:strCache>
                    <c:ptCount val="1"/>
                    <c:pt idx="0">
                      <c:v>250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{C8130FF9-8260-4BB3-AE40-76A02E7F3058}</c15:txfldGUID>
                      <c15:f>'Sensitivity Analysis'!$C$28</c15:f>
                      <c15:dlblFieldTableCache>
                        <c:ptCount val="1"/>
                        <c:pt idx="0">
                          <c:v>250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"/>
              <c:layout/>
              <c:tx>
                <c:strRef>
                  <c:f>'Sensitivity Analysis'!$C$29</c:f>
                  <c:strCache>
                    <c:ptCount val="1"/>
                    <c:pt idx="0">
                      <c:v>264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{04782729-E948-4F84-9658-0080EA1FE191}</c15:txfldGUID>
                      <c15:f>'Sensitivity Analysis'!$C$29</c15:f>
                      <c15:dlblFieldTableCache>
                        <c:ptCount val="1"/>
                        <c:pt idx="0">
                          <c:v>264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8"/>
              <c:layout/>
              <c:tx>
                <c:strRef>
                  <c:f>'Sensitivity Analysis'!$C$30</c:f>
                  <c:strCache>
                    <c:ptCount val="1"/>
                    <c:pt idx="0">
                      <c:v>280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{C563106B-BF9C-416D-8F1A-EE675CF7E402}</c15:txfldGUID>
                      <c15:f>'Sensitivity Analysis'!$C$30</c15:f>
                      <c15:dlblFieldTableCache>
                        <c:ptCount val="1"/>
                        <c:pt idx="0">
                          <c:v>280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9"/>
              <c:layout/>
              <c:tx>
                <c:strRef>
                  <c:f>'Sensitivity Analysis'!$C$31</c:f>
                  <c:strCache>
                    <c:ptCount val="1"/>
                    <c:pt idx="0">
                      <c:v>298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{C926DE59-44C4-4404-819A-52FA51CB39AA}</c15:txfldGUID>
                      <c15:f>'Sensitivity Analysis'!$C$31</c15:f>
                      <c15:dlblFieldTableCache>
                        <c:ptCount val="1"/>
                        <c:pt idx="0">
                          <c:v>298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0"/>
              <c:layout/>
              <c:tx>
                <c:strRef>
                  <c:f>'Sensitivity Analysis'!$C$32</c:f>
                  <c:strCache>
                    <c:ptCount val="1"/>
                    <c:pt idx="0">
                      <c:v>247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{771C754F-478E-4E45-A6C1-408524B60177}</c15:txfldGUID>
                      <c15:f>'Sensitivity Analysis'!$C$32</c15:f>
                      <c15:dlblFieldTableCache>
                        <c:ptCount val="1"/>
                        <c:pt idx="0">
                          <c:v>247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1"/>
              <c:layout/>
              <c:tx>
                <c:strRef>
                  <c:f>'Sensitivity Analysis'!$C$33</c:f>
                  <c:strCache>
                    <c:ptCount val="1"/>
                    <c:pt idx="0">
                      <c:v>262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{485A5BA9-EC75-4420-9EA1-EEE70ADD9B46}</c15:txfldGUID>
                      <c15:f>'Sensitivity Analysis'!$C$33</c15:f>
                      <c15:dlblFieldTableCache>
                        <c:ptCount val="1"/>
                        <c:pt idx="0">
                          <c:v>262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2"/>
              <c:layout/>
              <c:tx>
                <c:strRef>
                  <c:f>'Sensitivity Analysis'!$C$34</c:f>
                  <c:strCache>
                    <c:ptCount val="1"/>
                    <c:pt idx="0">
                      <c:v>279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1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{FF095273-A4D7-45B3-862A-8C0DBAEB8088}</c15:txfldGUID>
                      <c15:f>'Sensitivity Analysis'!$C$34</c15:f>
                      <c15:dlblFieldTableCache>
                        <c:ptCount val="1"/>
                        <c:pt idx="0">
                          <c:v>279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3"/>
              <c:layout/>
              <c:tx>
                <c:strRef>
                  <c:f>'Sensitivity Analysis'!$C$35</c:f>
                  <c:strCache>
                    <c:ptCount val="1"/>
                    <c:pt idx="0">
                      <c:v>299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{5DB24C9E-3E83-4A33-B963-56591386158C}</c15:txfldGUID>
                      <c15:f>'Sensitivity Analysis'!$C$35</c15:f>
                      <c15:dlblFieldTableCache>
                        <c:ptCount val="1"/>
                        <c:pt idx="0">
                          <c:v>299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4"/>
              <c:layout/>
              <c:tx>
                <c:strRef>
                  <c:f>'Sensitivity Analysis'!$C$36</c:f>
                  <c:strCache>
                    <c:ptCount val="1"/>
                    <c:pt idx="0">
                      <c:v>321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{03EA89E9-621B-454C-9580-8354C2CF26AB}</c15:txfldGUID>
                      <c15:f>'Sensitivity Analysis'!$C$36</c15:f>
                      <c15:dlblFieldTableCache>
                        <c:ptCount val="1"/>
                        <c:pt idx="0">
                          <c:v>321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5"/>
              <c:layout/>
              <c:tx>
                <c:strRef>
                  <c:f>'Sensitivity Analysis'!$C$37</c:f>
                  <c:strCache>
                    <c:ptCount val="1"/>
                    <c:pt idx="0">
                      <c:v>256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{076CB617-F058-400B-AD41-668416B8E6FE}</c15:txfldGUID>
                      <c15:f>'Sensitivity Analysis'!$C$37</c15:f>
                      <c15:dlblFieldTableCache>
                        <c:ptCount val="1"/>
                        <c:pt idx="0">
                          <c:v>256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6"/>
              <c:layout/>
              <c:tx>
                <c:strRef>
                  <c:f>'Sensitivity Analysis'!$C$38</c:f>
                  <c:strCache>
                    <c:ptCount val="1"/>
                    <c:pt idx="0">
                      <c:v>273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{63882C6F-0AA9-4833-8185-397AD8252DB3}</c15:txfldGUID>
                      <c15:f>'Sensitivity Analysis'!$C$38</c15:f>
                      <c15:dlblFieldTableCache>
                        <c:ptCount val="1"/>
                        <c:pt idx="0">
                          <c:v>273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7"/>
              <c:layout/>
              <c:tx>
                <c:strRef>
                  <c:f>'Sensitivity Analysis'!$C$39</c:f>
                  <c:strCache>
                    <c:ptCount val="1"/>
                    <c:pt idx="0">
                      <c:v>293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{546CB886-A3A6-4DE1-A6F0-D4FCE1A3C581}</c15:txfldGUID>
                      <c15:f>'Sensitivity Analysis'!$C$39</c15:f>
                      <c15:dlblFieldTableCache>
                        <c:ptCount val="1"/>
                        <c:pt idx="0">
                          <c:v>293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8"/>
              <c:layout/>
              <c:tx>
                <c:strRef>
                  <c:f>'Sensitivity Analysis'!$C$40</c:f>
                  <c:strCache>
                    <c:ptCount val="1"/>
                    <c:pt idx="0">
                      <c:v>315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{82D085AC-357A-48A0-92CB-79A5FFEB2F30}</c15:txfldGUID>
                      <c15:f>'Sensitivity Analysis'!$C$40</c15:f>
                      <c15:dlblFieldTableCache>
                        <c:ptCount val="1"/>
                        <c:pt idx="0">
                          <c:v>315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9"/>
              <c:layout/>
              <c:tx>
                <c:strRef>
                  <c:f>'Sensitivity Analysis'!$C$41</c:f>
                  <c:strCache>
                    <c:ptCount val="1"/>
                    <c:pt idx="0">
                      <c:v>341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{6638F74B-8FFC-4310-A7F4-BBCF69AA61F1}</c15:txfldGUID>
                      <c15:f>'Sensitivity Analysis'!$C$41</c15:f>
                      <c15:dlblFieldTableCache>
                        <c:ptCount val="1"/>
                        <c:pt idx="0">
                          <c:v>341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0"/>
              <c:layout/>
              <c:tx>
                <c:strRef>
                  <c:f>'Sensitivity Analysis'!$C$42</c:f>
                  <c:strCache>
                    <c:ptCount val="1"/>
                    <c:pt idx="0">
                      <c:v>263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{27755548-1ADB-46B4-8D1D-9DFC581078F8}</c15:txfldGUID>
                      <c15:f>'Sensitivity Analysis'!$C$42</c15:f>
                      <c15:dlblFieldTableCache>
                        <c:ptCount val="1"/>
                        <c:pt idx="0">
                          <c:v>263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1"/>
              <c:layout/>
              <c:tx>
                <c:strRef>
                  <c:f>'Sensitivity Analysis'!$C$43</c:f>
                  <c:strCache>
                    <c:ptCount val="1"/>
                    <c:pt idx="0">
                      <c:v>283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{4FB1C322-C3F4-43FF-A845-997C8147784C}</c15:txfldGUID>
                      <c15:f>'Sensitivity Analysis'!$C$43</c15:f>
                      <c15:dlblFieldTableCache>
                        <c:ptCount val="1"/>
                        <c:pt idx="0">
                          <c:v>283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2"/>
              <c:layout/>
              <c:tx>
                <c:strRef>
                  <c:f>'Sensitivity Analysis'!$C$44</c:f>
                  <c:strCache>
                    <c:ptCount val="1"/>
                    <c:pt idx="0">
                      <c:v>305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{B47FA684-9CAA-4996-BDB7-C21870599440}</c15:txfldGUID>
                      <c15:f>'Sensitivity Analysis'!$C$44</c15:f>
                      <c15:dlblFieldTableCache>
                        <c:ptCount val="1"/>
                        <c:pt idx="0">
                          <c:v>305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3"/>
              <c:layout/>
              <c:tx>
                <c:strRef>
                  <c:f>'Sensitivity Analysis'!$C$45</c:f>
                  <c:strCache>
                    <c:ptCount val="1"/>
                    <c:pt idx="0">
                      <c:v>330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{F1934231-AD96-4734-8940-336FA0FCC56F}</c15:txfldGUID>
                      <c15:f>'Sensitivity Analysis'!$C$45</c15:f>
                      <c15:dlblFieldTableCache>
                        <c:ptCount val="1"/>
                        <c:pt idx="0">
                          <c:v>330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4"/>
              <c:layout/>
              <c:tx>
                <c:strRef>
                  <c:f>'Sensitivity Analysis'!$C$46</c:f>
                  <c:strCache>
                    <c:ptCount val="1"/>
                    <c:pt idx="0">
                      <c:v>359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{8BF51FF3-7D62-46E8-BCAF-57ABD6F8BB74}</c15:txfldGUID>
                      <c15:f>'Sensitivity Analysis'!$C$46</c15:f>
                      <c15:dlblFieldTableCache>
                        <c:ptCount val="1"/>
                        <c:pt idx="0">
                          <c:v>359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25"/>
              <c:pt idx="0">
                <c:v>5</c:v>
              </c:pt>
              <c:pt idx="1">
                <c:v>5</c:v>
              </c:pt>
              <c:pt idx="2">
                <c:v>5</c:v>
              </c:pt>
              <c:pt idx="3">
                <c:v>5</c:v>
              </c:pt>
              <c:pt idx="4">
                <c:v>5</c:v>
              </c:pt>
              <c:pt idx="5">
                <c:v>10</c:v>
              </c:pt>
              <c:pt idx="6">
                <c:v>10</c:v>
              </c:pt>
              <c:pt idx="7">
                <c:v>10</c:v>
              </c:pt>
              <c:pt idx="8">
                <c:v>10</c:v>
              </c:pt>
              <c:pt idx="9">
                <c:v>10</c:v>
              </c:pt>
              <c:pt idx="10">
                <c:v>15</c:v>
              </c:pt>
              <c:pt idx="11">
                <c:v>15</c:v>
              </c:pt>
              <c:pt idx="12">
                <c:v>15</c:v>
              </c:pt>
              <c:pt idx="13">
                <c:v>15</c:v>
              </c:pt>
              <c:pt idx="14">
                <c:v>15</c:v>
              </c:pt>
              <c:pt idx="15">
                <c:v>20</c:v>
              </c:pt>
              <c:pt idx="16">
                <c:v>20</c:v>
              </c:pt>
              <c:pt idx="17">
                <c:v>20</c:v>
              </c:pt>
              <c:pt idx="18">
                <c:v>20</c:v>
              </c:pt>
              <c:pt idx="19">
                <c:v>20</c:v>
              </c:pt>
              <c:pt idx="20">
                <c:v>25</c:v>
              </c:pt>
              <c:pt idx="21">
                <c:v>25</c:v>
              </c:pt>
              <c:pt idx="22">
                <c:v>25</c:v>
              </c:pt>
              <c:pt idx="23">
                <c:v>25</c:v>
              </c:pt>
              <c:pt idx="24">
                <c:v>25</c:v>
              </c:pt>
            </c:numLit>
          </c:xVal>
          <c:yVal>
            <c:numLit>
              <c:formatCode>General</c:formatCode>
              <c:ptCount val="25"/>
              <c:pt idx="0">
                <c:v>5</c:v>
              </c:pt>
              <c:pt idx="1">
                <c:v>10</c:v>
              </c:pt>
              <c:pt idx="2">
                <c:v>15</c:v>
              </c:pt>
              <c:pt idx="3">
                <c:v>20</c:v>
              </c:pt>
              <c:pt idx="4">
                <c:v>25</c:v>
              </c:pt>
              <c:pt idx="5">
                <c:v>5</c:v>
              </c:pt>
              <c:pt idx="6">
                <c:v>10</c:v>
              </c:pt>
              <c:pt idx="7">
                <c:v>15</c:v>
              </c:pt>
              <c:pt idx="8">
                <c:v>20</c:v>
              </c:pt>
              <c:pt idx="9">
                <c:v>25</c:v>
              </c:pt>
              <c:pt idx="10">
                <c:v>5</c:v>
              </c:pt>
              <c:pt idx="11">
                <c:v>10</c:v>
              </c:pt>
              <c:pt idx="12">
                <c:v>15</c:v>
              </c:pt>
              <c:pt idx="13">
                <c:v>20</c:v>
              </c:pt>
              <c:pt idx="14">
                <c:v>25</c:v>
              </c:pt>
              <c:pt idx="15">
                <c:v>5</c:v>
              </c:pt>
              <c:pt idx="16">
                <c:v>10</c:v>
              </c:pt>
              <c:pt idx="17">
                <c:v>15</c:v>
              </c:pt>
              <c:pt idx="18">
                <c:v>20</c:v>
              </c:pt>
              <c:pt idx="19">
                <c:v>25</c:v>
              </c:pt>
              <c:pt idx="20">
                <c:v>5</c:v>
              </c:pt>
              <c:pt idx="21">
                <c:v>10</c:v>
              </c:pt>
              <c:pt idx="22">
                <c:v>15</c:v>
              </c:pt>
              <c:pt idx="23">
                <c:v>20</c:v>
              </c:pt>
              <c:pt idx="24">
                <c:v>25</c:v>
              </c:pt>
            </c:numLit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/>
              <c:tx>
                <c:strRef>
                  <c:f>'Sensitivity Analysis'!$C$47</c:f>
                  <c:strCache>
                    <c:ptCount val="1"/>
                    <c:pt idx="0">
                      <c:v>178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{073E7F64-5D5E-4E74-AD5C-B9DA414BCB57}</c15:txfldGUID>
                      <c15:f>'Sensitivity Analysis'!$C$47</c15:f>
                      <c15:dlblFieldTableCache>
                        <c:ptCount val="1"/>
                        <c:pt idx="0">
                          <c:v>178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layout/>
              <c:tx>
                <c:strRef>
                  <c:f>'Sensitivity Analysis'!$C$48</c:f>
                  <c:strCache>
                    <c:ptCount val="1"/>
                    <c:pt idx="0">
                      <c:v>213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{C1A90B26-7E0F-4C61-9117-0481ABC78151}</c15:txfldGUID>
                      <c15:f>'Sensitivity Analysis'!$C$48</c15:f>
                      <c15:dlblFieldTableCache>
                        <c:ptCount val="1"/>
                        <c:pt idx="0">
                          <c:v>213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/>
              <c:tx>
                <c:strRef>
                  <c:f>'Sensitivity Analysis'!$C$49</c:f>
                  <c:strCache>
                    <c:ptCount val="1"/>
                    <c:pt idx="0">
                      <c:v>246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{E0BFD690-BB54-477E-BF1E-B55AE5C2F7DE}</c15:txfldGUID>
                      <c15:f>'Sensitivity Analysis'!$C$49</c15:f>
                      <c15:dlblFieldTableCache>
                        <c:ptCount val="1"/>
                        <c:pt idx="0">
                          <c:v>246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layout/>
              <c:tx>
                <c:strRef>
                  <c:f>'Sensitivity Analysis'!$C$50</c:f>
                  <c:strCache>
                    <c:ptCount val="1"/>
                    <c:pt idx="0">
                      <c:v>284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{B74683E6-FB5F-4D81-A0B0-44DD519F2AB1}</c15:txfldGUID>
                      <c15:f>'Sensitivity Analysis'!$C$50</c15:f>
                      <c15:dlblFieldTableCache>
                        <c:ptCount val="1"/>
                        <c:pt idx="0">
                          <c:v>284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layout/>
              <c:tx>
                <c:strRef>
                  <c:f>'Sensitivity Analysis'!$C$51</c:f>
                  <c:strCache>
                    <c:ptCount val="1"/>
                    <c:pt idx="0">
                      <c:v>319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{84FE33EB-AC63-4203-BA59-EA130E43DF4D}</c15:txfldGUID>
                      <c15:f>'Sensitivity Analysis'!$C$51</c15:f>
                      <c15:dlblFieldTableCache>
                        <c:ptCount val="1"/>
                        <c:pt idx="0">
                          <c:v>319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"/>
              <c:layout/>
              <c:tx>
                <c:strRef>
                  <c:f>'Sensitivity Analysis'!$C$52</c:f>
                  <c:strCache>
                    <c:ptCount val="1"/>
                    <c:pt idx="0">
                      <c:v>195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{DC245372-F692-4472-84F9-546DD8EB8705}</c15:txfldGUID>
                      <c15:f>'Sensitivity Analysis'!$C$52</c15:f>
                      <c15:dlblFieldTableCache>
                        <c:ptCount val="1"/>
                        <c:pt idx="0">
                          <c:v>195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"/>
              <c:layout/>
              <c:tx>
                <c:strRef>
                  <c:f>'Sensitivity Analysis'!$C$53</c:f>
                  <c:strCache>
                    <c:ptCount val="1"/>
                    <c:pt idx="0">
                      <c:v>230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{9FA2D6FF-2430-424E-A825-726783E29B6D}</c15:txfldGUID>
                      <c15:f>'Sensitivity Analysis'!$C$53</c15:f>
                      <c15:dlblFieldTableCache>
                        <c:ptCount val="1"/>
                        <c:pt idx="0">
                          <c:v>230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"/>
              <c:layout/>
              <c:tx>
                <c:strRef>
                  <c:f>'Sensitivity Analysis'!$C$54</c:f>
                  <c:strCache>
                    <c:ptCount val="1"/>
                    <c:pt idx="0">
                      <c:v>264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{B1517ACA-A24C-4091-ABAD-95A6B3F4BB46}</c15:txfldGUID>
                      <c15:f>'Sensitivity Analysis'!$C$54</c15:f>
                      <c15:dlblFieldTableCache>
                        <c:ptCount val="1"/>
                        <c:pt idx="0">
                          <c:v>264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8"/>
              <c:layout/>
              <c:tx>
                <c:strRef>
                  <c:f>'Sensitivity Analysis'!$C$55</c:f>
                  <c:strCache>
                    <c:ptCount val="1"/>
                    <c:pt idx="0">
                      <c:v>302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{7E4A6200-B041-4436-8BE0-7BA865799DE5}</c15:txfldGUID>
                      <c15:f>'Sensitivity Analysis'!$C$55</c15:f>
                      <c15:dlblFieldTableCache>
                        <c:ptCount val="1"/>
                        <c:pt idx="0">
                          <c:v>302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9"/>
              <c:layout/>
              <c:tx>
                <c:strRef>
                  <c:f>'Sensitivity Analysis'!$C$56</c:f>
                  <c:strCache>
                    <c:ptCount val="1"/>
                    <c:pt idx="0">
                      <c:v>338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{0243F379-2245-4550-8DF0-0996753A3991}</c15:txfldGUID>
                      <c15:f>'Sensitivity Analysis'!$C$56</c15:f>
                      <c15:dlblFieldTableCache>
                        <c:ptCount val="1"/>
                        <c:pt idx="0">
                          <c:v>338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0"/>
              <c:layout/>
              <c:tx>
                <c:strRef>
                  <c:f>'Sensitivity Analysis'!$C$57</c:f>
                  <c:strCache>
                    <c:ptCount val="1"/>
                    <c:pt idx="0">
                      <c:v>209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{7B20E18D-E4FB-4274-81C9-77ECD1A4D1FE}</c15:txfldGUID>
                      <c15:f>'Sensitivity Analysis'!$C$57</c15:f>
                      <c15:dlblFieldTableCache>
                        <c:ptCount val="1"/>
                        <c:pt idx="0">
                          <c:v>209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1"/>
              <c:layout/>
              <c:tx>
                <c:strRef>
                  <c:f>'Sensitivity Analysis'!$C$58</c:f>
                  <c:strCache>
                    <c:ptCount val="1"/>
                    <c:pt idx="0">
                      <c:v>245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{C9B4A64E-B233-4022-8990-FD45D22A46EB}</c15:txfldGUID>
                      <c15:f>'Sensitivity Analysis'!$C$58</c15:f>
                      <c15:dlblFieldTableCache>
                        <c:ptCount val="1"/>
                        <c:pt idx="0">
                          <c:v>245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2"/>
              <c:layout/>
              <c:tx>
                <c:strRef>
                  <c:f>'Sensitivity Analysis'!$C$59</c:f>
                  <c:strCache>
                    <c:ptCount val="1"/>
                    <c:pt idx="0">
                      <c:v>279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1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{FA0A3BDC-7760-4256-96FE-9C3206F04052}</c15:txfldGUID>
                      <c15:f>'Sensitivity Analysis'!$C$59</c15:f>
                      <c15:dlblFieldTableCache>
                        <c:ptCount val="1"/>
                        <c:pt idx="0">
                          <c:v>279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3"/>
              <c:layout/>
              <c:tx>
                <c:strRef>
                  <c:f>'Sensitivity Analysis'!$C$60</c:f>
                  <c:strCache>
                    <c:ptCount val="1"/>
                    <c:pt idx="0">
                      <c:v>318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{85C68CD0-F15D-417C-9300-534BC0FC93CD}</c15:txfldGUID>
                      <c15:f>'Sensitivity Analysis'!$C$60</c15:f>
                      <c15:dlblFieldTableCache>
                        <c:ptCount val="1"/>
                        <c:pt idx="0">
                          <c:v>318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4"/>
              <c:layout/>
              <c:tx>
                <c:strRef>
                  <c:f>'Sensitivity Analysis'!$C$61</c:f>
                  <c:strCache>
                    <c:ptCount val="1"/>
                    <c:pt idx="0">
                      <c:v>355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{DA21ADB0-24E8-49FB-A7CE-2FC92BCC2FD0}</c15:txfldGUID>
                      <c15:f>'Sensitivity Analysis'!$C$61</c15:f>
                      <c15:dlblFieldTableCache>
                        <c:ptCount val="1"/>
                        <c:pt idx="0">
                          <c:v>355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5"/>
              <c:layout/>
              <c:tx>
                <c:strRef>
                  <c:f>'Sensitivity Analysis'!$C$62</c:f>
                  <c:strCache>
                    <c:ptCount val="1"/>
                    <c:pt idx="0">
                      <c:v>221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{943C1061-F5A9-49C7-87DC-574D85AAB8C3}</c15:txfldGUID>
                      <c15:f>'Sensitivity Analysis'!$C$62</c15:f>
                      <c15:dlblFieldTableCache>
                        <c:ptCount val="1"/>
                        <c:pt idx="0">
                          <c:v>221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6"/>
              <c:layout/>
              <c:tx>
                <c:strRef>
                  <c:f>'Sensitivity Analysis'!$C$63</c:f>
                  <c:strCache>
                    <c:ptCount val="1"/>
                    <c:pt idx="0">
                      <c:v>258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{C34DD20E-80CD-4F2D-AB33-FD59C1F4EBE6}</c15:txfldGUID>
                      <c15:f>'Sensitivity Analysis'!$C$63</c15:f>
                      <c15:dlblFieldTableCache>
                        <c:ptCount val="1"/>
                        <c:pt idx="0">
                          <c:v>258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7"/>
              <c:layout/>
              <c:tx>
                <c:strRef>
                  <c:f>'Sensitivity Analysis'!$C$64</c:f>
                  <c:strCache>
                    <c:ptCount val="1"/>
                    <c:pt idx="0">
                      <c:v>293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{2016C7E4-9D5E-48CA-82A5-DF35F5F3E1B2}</c15:txfldGUID>
                      <c15:f>'Sensitivity Analysis'!$C$64</c15:f>
                      <c15:dlblFieldTableCache>
                        <c:ptCount val="1"/>
                        <c:pt idx="0">
                          <c:v>293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8"/>
              <c:layout/>
              <c:tx>
                <c:strRef>
                  <c:f>'Sensitivity Analysis'!$C$65</c:f>
                  <c:strCache>
                    <c:ptCount val="1"/>
                    <c:pt idx="0">
                      <c:v>332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{6B8EFEB1-C484-499E-8524-17CF9C626F2D}</c15:txfldGUID>
                      <c15:f>'Sensitivity Analysis'!$C$65</c15:f>
                      <c15:dlblFieldTableCache>
                        <c:ptCount val="1"/>
                        <c:pt idx="0">
                          <c:v>332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9"/>
              <c:layout/>
              <c:tx>
                <c:strRef>
                  <c:f>'Sensitivity Analysis'!$C$66</c:f>
                  <c:strCache>
                    <c:ptCount val="1"/>
                    <c:pt idx="0">
                      <c:v>369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{CE497139-4FDD-4813-A886-12C11B06FF17}</c15:txfldGUID>
                      <c15:f>'Sensitivity Analysis'!$C$66</c15:f>
                      <c15:dlblFieldTableCache>
                        <c:ptCount val="1"/>
                        <c:pt idx="0">
                          <c:v>369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0"/>
              <c:layout/>
              <c:tx>
                <c:strRef>
                  <c:f>'Sensitivity Analysis'!$C$67</c:f>
                  <c:strCache>
                    <c:ptCount val="1"/>
                    <c:pt idx="0">
                      <c:v>232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{FB81AC9B-DFE8-406A-9DD9-0C7F6C5B3119}</c15:txfldGUID>
                      <c15:f>'Sensitivity Analysis'!$C$67</c15:f>
                      <c15:dlblFieldTableCache>
                        <c:ptCount val="1"/>
                        <c:pt idx="0">
                          <c:v>232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1"/>
              <c:layout/>
              <c:tx>
                <c:strRef>
                  <c:f>'Sensitivity Analysis'!$C$68</c:f>
                  <c:strCache>
                    <c:ptCount val="1"/>
                    <c:pt idx="0">
                      <c:v>270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{4D376E5C-08DB-400C-9165-C189F34230C0}</c15:txfldGUID>
                      <c15:f>'Sensitivity Analysis'!$C$68</c15:f>
                      <c15:dlblFieldTableCache>
                        <c:ptCount val="1"/>
                        <c:pt idx="0">
                          <c:v>270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2"/>
              <c:layout/>
              <c:tx>
                <c:strRef>
                  <c:f>'Sensitivity Analysis'!$C$69</c:f>
                  <c:strCache>
                    <c:ptCount val="1"/>
                    <c:pt idx="0">
                      <c:v>305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{0F04D6C1-9097-45F7-8785-A17E4DA8A58A}</c15:txfldGUID>
                      <c15:f>'Sensitivity Analysis'!$C$69</c15:f>
                      <c15:dlblFieldTableCache>
                        <c:ptCount val="1"/>
                        <c:pt idx="0">
                          <c:v>305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3"/>
              <c:layout/>
              <c:tx>
                <c:strRef>
                  <c:f>'Sensitivity Analysis'!$C$70</c:f>
                  <c:strCache>
                    <c:ptCount val="1"/>
                    <c:pt idx="0">
                      <c:v>345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{AE1002EA-9DB5-41ED-A276-35F0CC6BF13B}</c15:txfldGUID>
                      <c15:f>'Sensitivity Analysis'!$C$70</c15:f>
                      <c15:dlblFieldTableCache>
                        <c:ptCount val="1"/>
                        <c:pt idx="0">
                          <c:v>345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4"/>
              <c:layout/>
              <c:tx>
                <c:strRef>
                  <c:f>'Sensitivity Analysis'!$C$71</c:f>
                  <c:strCache>
                    <c:ptCount val="1"/>
                    <c:pt idx="0">
                      <c:v>382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{F8A73A65-FEC7-4C6C-B86B-EDE824C2586C}</c15:txfldGUID>
                      <c15:f>'Sensitivity Analysis'!$C$71</c15:f>
                      <c15:dlblFieldTableCache>
                        <c:ptCount val="1"/>
                        <c:pt idx="0">
                          <c:v>382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25"/>
              <c:pt idx="0">
                <c:v>5</c:v>
              </c:pt>
              <c:pt idx="1">
                <c:v>5</c:v>
              </c:pt>
              <c:pt idx="2">
                <c:v>5</c:v>
              </c:pt>
              <c:pt idx="3">
                <c:v>5</c:v>
              </c:pt>
              <c:pt idx="4">
                <c:v>5</c:v>
              </c:pt>
              <c:pt idx="5">
                <c:v>10</c:v>
              </c:pt>
              <c:pt idx="6">
                <c:v>10</c:v>
              </c:pt>
              <c:pt idx="7">
                <c:v>10</c:v>
              </c:pt>
              <c:pt idx="8">
                <c:v>10</c:v>
              </c:pt>
              <c:pt idx="9">
                <c:v>10</c:v>
              </c:pt>
              <c:pt idx="10">
                <c:v>15</c:v>
              </c:pt>
              <c:pt idx="11">
                <c:v>15</c:v>
              </c:pt>
              <c:pt idx="12">
                <c:v>15</c:v>
              </c:pt>
              <c:pt idx="13">
                <c:v>15</c:v>
              </c:pt>
              <c:pt idx="14">
                <c:v>15</c:v>
              </c:pt>
              <c:pt idx="15">
                <c:v>20</c:v>
              </c:pt>
              <c:pt idx="16">
                <c:v>20</c:v>
              </c:pt>
              <c:pt idx="17">
                <c:v>20</c:v>
              </c:pt>
              <c:pt idx="18">
                <c:v>20</c:v>
              </c:pt>
              <c:pt idx="19">
                <c:v>20</c:v>
              </c:pt>
              <c:pt idx="20">
                <c:v>25</c:v>
              </c:pt>
              <c:pt idx="21">
                <c:v>25</c:v>
              </c:pt>
              <c:pt idx="22">
                <c:v>25</c:v>
              </c:pt>
              <c:pt idx="23">
                <c:v>25</c:v>
              </c:pt>
              <c:pt idx="24">
                <c:v>25</c:v>
              </c:pt>
            </c:numLit>
          </c:xVal>
          <c:yVal>
            <c:numLit>
              <c:formatCode>General</c:formatCode>
              <c:ptCount val="25"/>
              <c:pt idx="0">
                <c:v>-5</c:v>
              </c:pt>
              <c:pt idx="1">
                <c:v>-10</c:v>
              </c:pt>
              <c:pt idx="2">
                <c:v>-15</c:v>
              </c:pt>
              <c:pt idx="3">
                <c:v>-20</c:v>
              </c:pt>
              <c:pt idx="4">
                <c:v>-25</c:v>
              </c:pt>
              <c:pt idx="5">
                <c:v>-5</c:v>
              </c:pt>
              <c:pt idx="6">
                <c:v>-10</c:v>
              </c:pt>
              <c:pt idx="7">
                <c:v>-15</c:v>
              </c:pt>
              <c:pt idx="8">
                <c:v>-20</c:v>
              </c:pt>
              <c:pt idx="9">
                <c:v>-25</c:v>
              </c:pt>
              <c:pt idx="10">
                <c:v>-5</c:v>
              </c:pt>
              <c:pt idx="11">
                <c:v>-10</c:v>
              </c:pt>
              <c:pt idx="12">
                <c:v>-15</c:v>
              </c:pt>
              <c:pt idx="13">
                <c:v>-20</c:v>
              </c:pt>
              <c:pt idx="14">
                <c:v>-25</c:v>
              </c:pt>
              <c:pt idx="15">
                <c:v>-5</c:v>
              </c:pt>
              <c:pt idx="16">
                <c:v>-10</c:v>
              </c:pt>
              <c:pt idx="17">
                <c:v>-15</c:v>
              </c:pt>
              <c:pt idx="18">
                <c:v>-20</c:v>
              </c:pt>
              <c:pt idx="19">
                <c:v>-25</c:v>
              </c:pt>
              <c:pt idx="20">
                <c:v>-5</c:v>
              </c:pt>
              <c:pt idx="21">
                <c:v>-10</c:v>
              </c:pt>
              <c:pt idx="22">
                <c:v>-15</c:v>
              </c:pt>
              <c:pt idx="23">
                <c:v>-20</c:v>
              </c:pt>
              <c:pt idx="24">
                <c:v>-25</c:v>
              </c:pt>
            </c:numLit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/>
              <c:tx>
                <c:strRef>
                  <c:f>'Sensitivity Analysis'!$C$97</c:f>
                  <c:strCache>
                    <c:ptCount val="1"/>
                    <c:pt idx="0">
                      <c:v>99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{46AEA7C7-4E91-4DD9-AC3E-4F06DDFC623E}</c15:txfldGUID>
                      <c15:f>'Sensitivity Analysis'!$C$97</c15:f>
                      <c15:dlblFieldTableCache>
                        <c:ptCount val="1"/>
                        <c:pt idx="0">
                          <c:v>99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layout/>
              <c:tx>
                <c:strRef>
                  <c:f>'Sensitivity Analysis'!$C$98</c:f>
                  <c:strCache>
                    <c:ptCount val="1"/>
                    <c:pt idx="0">
                      <c:v>104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{F576AB89-0272-4083-8A2B-C3CED6B2A12A}</c15:txfldGUID>
                      <c15:f>'Sensitivity Analysis'!$C$98</c15:f>
                      <c15:dlblFieldTableCache>
                        <c:ptCount val="1"/>
                        <c:pt idx="0">
                          <c:v>104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/>
              <c:tx>
                <c:strRef>
                  <c:f>'Sensitivity Analysis'!$C$99</c:f>
                  <c:strCache>
                    <c:ptCount val="1"/>
                    <c:pt idx="0">
                      <c:v>111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{ADC7B7B1-F278-4EEE-9999-849C882581B6}</c15:txfldGUID>
                      <c15:f>'Sensitivity Analysis'!$C$99</c15:f>
                      <c15:dlblFieldTableCache>
                        <c:ptCount val="1"/>
                        <c:pt idx="0">
                          <c:v>111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layout/>
              <c:tx>
                <c:strRef>
                  <c:f>'Sensitivity Analysis'!$C$100</c:f>
                  <c:strCache>
                    <c:ptCount val="1"/>
                    <c:pt idx="0">
                      <c:v>117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{71A54465-6918-4EB9-A5C6-F18AE4BC92A2}</c15:txfldGUID>
                      <c15:f>'Sensitivity Analysis'!$C$100</c15:f>
                      <c15:dlblFieldTableCache>
                        <c:ptCount val="1"/>
                        <c:pt idx="0">
                          <c:v>117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layout>
                <c:manualLayout>
                  <c:x val="-2.2927835051546393E-2"/>
                  <c:y val="0"/>
                </c:manualLayout>
              </c:layout>
              <c:tx>
                <c:strRef>
                  <c:f>'Sensitivity Analysis'!$C$101</c:f>
                  <c:strCache>
                    <c:ptCount val="1"/>
                    <c:pt idx="0">
                      <c:v>124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{818E5433-F6DF-4788-82A1-340830DCABBA}</c15:txfldGUID>
                      <c15:f>'Sensitivity Analysis'!$C$101</c15:f>
                      <c15:dlblFieldTableCache>
                        <c:ptCount val="1"/>
                        <c:pt idx="0">
                          <c:v>124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"/>
              <c:layout/>
              <c:tx>
                <c:strRef>
                  <c:f>'Sensitivity Analysis'!$C$102</c:f>
                  <c:strCache>
                    <c:ptCount val="1"/>
                    <c:pt idx="0">
                      <c:v>164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{E643E560-A010-4DDD-A2CE-21E453A824DA}</c15:txfldGUID>
                      <c15:f>'Sensitivity Analysis'!$C$102</c15:f>
                      <c15:dlblFieldTableCache>
                        <c:ptCount val="1"/>
                        <c:pt idx="0">
                          <c:v>164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"/>
              <c:layout/>
              <c:tx>
                <c:strRef>
                  <c:f>'Sensitivity Analysis'!$C$103</c:f>
                  <c:strCache>
                    <c:ptCount val="1"/>
                    <c:pt idx="0">
                      <c:v>174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{E00283CA-5A80-4A6C-8A86-03ABCA888D2D}</c15:txfldGUID>
                      <c15:f>'Sensitivity Analysis'!$C$103</c15:f>
                      <c15:dlblFieldTableCache>
                        <c:ptCount val="1"/>
                        <c:pt idx="0">
                          <c:v>174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"/>
              <c:layout/>
              <c:tx>
                <c:strRef>
                  <c:f>'Sensitivity Analysis'!$C$104</c:f>
                  <c:strCache>
                    <c:ptCount val="1"/>
                    <c:pt idx="0">
                      <c:v>184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{2D0E3DFD-3850-4091-9ECA-C5526A82289A}</c15:txfldGUID>
                      <c15:f>'Sensitivity Analysis'!$C$104</c15:f>
                      <c15:dlblFieldTableCache>
                        <c:ptCount val="1"/>
                        <c:pt idx="0">
                          <c:v>184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8"/>
              <c:layout/>
              <c:tx>
                <c:strRef>
                  <c:f>'Sensitivity Analysis'!$C$105</c:f>
                  <c:strCache>
                    <c:ptCount val="1"/>
                    <c:pt idx="0">
                      <c:v>195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{601E00CD-7419-4437-B73A-239B19326ECF}</c15:txfldGUID>
                      <c15:f>'Sensitivity Analysis'!$C$105</c15:f>
                      <c15:dlblFieldTableCache>
                        <c:ptCount val="1"/>
                        <c:pt idx="0">
                          <c:v>195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9"/>
              <c:layout/>
              <c:tx>
                <c:strRef>
                  <c:f>'Sensitivity Analysis'!$C$106</c:f>
                  <c:strCache>
                    <c:ptCount val="1"/>
                    <c:pt idx="0">
                      <c:v>208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{14F4DC63-237B-407A-9A3F-36D3268B7EB4}</c15:txfldGUID>
                      <c15:f>'Sensitivity Analysis'!$C$106</c15:f>
                      <c15:dlblFieldTableCache>
                        <c:ptCount val="1"/>
                        <c:pt idx="0">
                          <c:v>208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0"/>
              <c:layout/>
              <c:tx>
                <c:strRef>
                  <c:f>'Sensitivity Analysis'!$C$107</c:f>
                  <c:strCache>
                    <c:ptCount val="1"/>
                    <c:pt idx="0">
                      <c:v>247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{7470F29E-A50E-452D-93F2-1EEB011958F6}</c15:txfldGUID>
                      <c15:f>'Sensitivity Analysis'!$C$107</c15:f>
                      <c15:dlblFieldTableCache>
                        <c:ptCount val="1"/>
                        <c:pt idx="0">
                          <c:v>247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1"/>
              <c:layout/>
              <c:tx>
                <c:strRef>
                  <c:f>'Sensitivity Analysis'!$C$108</c:f>
                  <c:strCache>
                    <c:ptCount val="1"/>
                    <c:pt idx="0">
                      <c:v>262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{30F1D95E-1F81-46E4-9691-EADA8B44D20B}</c15:txfldGUID>
                      <c15:f>'Sensitivity Analysis'!$C$108</c15:f>
                      <c15:dlblFieldTableCache>
                        <c:ptCount val="1"/>
                        <c:pt idx="0">
                          <c:v>262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2"/>
              <c:layout/>
              <c:tx>
                <c:strRef>
                  <c:f>'Sensitivity Analysis'!$C$109</c:f>
                  <c:strCache>
                    <c:ptCount val="1"/>
                    <c:pt idx="0">
                      <c:v>279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1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{9411CC13-A734-46F0-8C30-FF99064FBA21}</c15:txfldGUID>
                      <c15:f>'Sensitivity Analysis'!$C$109</c15:f>
                      <c15:dlblFieldTableCache>
                        <c:ptCount val="1"/>
                        <c:pt idx="0">
                          <c:v>279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3"/>
              <c:layout/>
              <c:tx>
                <c:strRef>
                  <c:f>'Sensitivity Analysis'!$C$110</c:f>
                  <c:strCache>
                    <c:ptCount val="1"/>
                    <c:pt idx="0">
                      <c:v>299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{33285A50-AD41-4A1F-A4E9-2606EAC11FCC}</c15:txfldGUID>
                      <c15:f>'Sensitivity Analysis'!$C$110</c15:f>
                      <c15:dlblFieldTableCache>
                        <c:ptCount val="1"/>
                        <c:pt idx="0">
                          <c:v>299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4"/>
              <c:layout/>
              <c:tx>
                <c:strRef>
                  <c:f>'Sensitivity Analysis'!$C$111</c:f>
                  <c:strCache>
                    <c:ptCount val="1"/>
                    <c:pt idx="0">
                      <c:v>321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{B916C79B-73C9-444A-B0AA-DBA95E579721}</c15:txfldGUID>
                      <c15:f>'Sensitivity Analysis'!$C$111</c15:f>
                      <c15:dlblFieldTableCache>
                        <c:ptCount val="1"/>
                        <c:pt idx="0">
                          <c:v>321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5"/>
              <c:layout/>
              <c:tx>
                <c:strRef>
                  <c:f>'Sensitivity Analysis'!$C$112</c:f>
                  <c:strCache>
                    <c:ptCount val="1"/>
                    <c:pt idx="0">
                      <c:v>354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{9E5A6CF1-058B-45D6-A0D7-4D0C8940B231}</c15:txfldGUID>
                      <c15:f>'Sensitivity Analysis'!$C$112</c15:f>
                      <c15:dlblFieldTableCache>
                        <c:ptCount val="1"/>
                        <c:pt idx="0">
                          <c:v>354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6"/>
              <c:layout/>
              <c:tx>
                <c:strRef>
                  <c:f>'Sensitivity Analysis'!$C$113</c:f>
                  <c:strCache>
                    <c:ptCount val="1"/>
                    <c:pt idx="0">
                      <c:v>379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{5CB60394-997E-4809-AAB2-27F25B73DE78}</c15:txfldGUID>
                      <c15:f>'Sensitivity Analysis'!$C$113</c15:f>
                      <c15:dlblFieldTableCache>
                        <c:ptCount val="1"/>
                        <c:pt idx="0">
                          <c:v>379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7"/>
              <c:layout/>
              <c:tx>
                <c:strRef>
                  <c:f>'Sensitivity Analysis'!$C$114</c:f>
                  <c:strCache>
                    <c:ptCount val="1"/>
                    <c:pt idx="0">
                      <c:v>408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{25421E2D-3F8D-4DC4-879B-AB02DB1EF5D4}</c15:txfldGUID>
                      <c15:f>'Sensitivity Analysis'!$C$114</c15:f>
                      <c15:dlblFieldTableCache>
                        <c:ptCount val="1"/>
                        <c:pt idx="0">
                          <c:v>408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8"/>
              <c:layout/>
              <c:tx>
                <c:strRef>
                  <c:f>'Sensitivity Analysis'!$C$115</c:f>
                  <c:strCache>
                    <c:ptCount val="1"/>
                    <c:pt idx="0">
                      <c:v>441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{A2EAA01F-201C-4877-A29E-F48F8232B575}</c15:txfldGUID>
                      <c15:f>'Sensitivity Analysis'!$C$115</c15:f>
                      <c15:dlblFieldTableCache>
                        <c:ptCount val="1"/>
                        <c:pt idx="0">
                          <c:v>441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9"/>
              <c:layout/>
              <c:tx>
                <c:strRef>
                  <c:f>'Sensitivity Analysis'!$C$116</c:f>
                  <c:strCache>
                    <c:ptCount val="1"/>
                    <c:pt idx="0">
                      <c:v>481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{771F6208-F329-4C99-8265-CA5CAF2A03E1}</c15:txfldGUID>
                      <c15:f>'Sensitivity Analysis'!$C$116</c15:f>
                      <c15:dlblFieldTableCache>
                        <c:ptCount val="1"/>
                        <c:pt idx="0">
                          <c:v>481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0"/>
              <c:layout/>
              <c:tx>
                <c:strRef>
                  <c:f>'Sensitivity Analysis'!$C$117</c:f>
                  <c:strCache>
                    <c:ptCount val="1"/>
                    <c:pt idx="0">
                      <c:v>499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{CBB32760-69C3-428F-8C1B-4EBDB8D98399}</c15:txfldGUID>
                      <c15:f>'Sensitivity Analysis'!$C$117</c15:f>
                      <c15:dlblFieldTableCache>
                        <c:ptCount val="1"/>
                        <c:pt idx="0">
                          <c:v>499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1"/>
              <c:layout/>
              <c:tx>
                <c:strRef>
                  <c:f>'Sensitivity Analysis'!$C$118</c:f>
                  <c:strCache>
                    <c:ptCount val="1"/>
                    <c:pt idx="0">
                      <c:v>540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{44F7DB0C-5254-4989-A4B8-709ECB67D9F2}</c15:txfldGUID>
                      <c15:f>'Sensitivity Analysis'!$C$118</c15:f>
                      <c15:dlblFieldTableCache>
                        <c:ptCount val="1"/>
                        <c:pt idx="0">
                          <c:v>540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2"/>
              <c:layout/>
              <c:tx>
                <c:strRef>
                  <c:f>'Sensitivity Analysis'!$C$119</c:f>
                  <c:strCache>
                    <c:ptCount val="1"/>
                    <c:pt idx="0">
                      <c:v>589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{8981D2AF-6D92-4772-8F75-1B3CCB922C3F}</c15:txfldGUID>
                      <c15:f>'Sensitivity Analysis'!$C$119</c15:f>
                      <c15:dlblFieldTableCache>
                        <c:ptCount val="1"/>
                        <c:pt idx="0">
                          <c:v>589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3"/>
              <c:layout/>
              <c:tx>
                <c:strRef>
                  <c:f>'Sensitivity Analysis'!$C$120</c:f>
                  <c:strCache>
                    <c:ptCount val="1"/>
                    <c:pt idx="0">
                      <c:v>648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{90C72E90-B90E-461F-9FD3-A864A3DBCAA4}</c15:txfldGUID>
                      <c15:f>'Sensitivity Analysis'!$C$120</c15:f>
                      <c15:dlblFieldTableCache>
                        <c:ptCount val="1"/>
                        <c:pt idx="0">
                          <c:v>648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4"/>
              <c:layout/>
              <c:tx>
                <c:strRef>
                  <c:f>'Sensitivity Analysis'!$C$121</c:f>
                  <c:strCache>
                    <c:ptCount val="1"/>
                    <c:pt idx="0">
                      <c:v>721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{AF6751E2-6252-43E1-A4FE-D48BF4007E15}</c15:txfldGUID>
                      <c15:f>'Sensitivity Analysis'!$C$121</c15:f>
                      <c15:dlblFieldTableCache>
                        <c:ptCount val="1"/>
                        <c:pt idx="0">
                          <c:v>721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25"/>
              <c:pt idx="0">
                <c:v>-5</c:v>
              </c:pt>
              <c:pt idx="1">
                <c:v>-5</c:v>
              </c:pt>
              <c:pt idx="2">
                <c:v>-5</c:v>
              </c:pt>
              <c:pt idx="3">
                <c:v>-5</c:v>
              </c:pt>
              <c:pt idx="4">
                <c:v>-5</c:v>
              </c:pt>
              <c:pt idx="5">
                <c:v>-10</c:v>
              </c:pt>
              <c:pt idx="6">
                <c:v>-10</c:v>
              </c:pt>
              <c:pt idx="7">
                <c:v>-10</c:v>
              </c:pt>
              <c:pt idx="8">
                <c:v>-10</c:v>
              </c:pt>
              <c:pt idx="9">
                <c:v>-10</c:v>
              </c:pt>
              <c:pt idx="10">
                <c:v>-15</c:v>
              </c:pt>
              <c:pt idx="11">
                <c:v>-15</c:v>
              </c:pt>
              <c:pt idx="12">
                <c:v>-15</c:v>
              </c:pt>
              <c:pt idx="13">
                <c:v>-15</c:v>
              </c:pt>
              <c:pt idx="14">
                <c:v>-15</c:v>
              </c:pt>
              <c:pt idx="15">
                <c:v>-20</c:v>
              </c:pt>
              <c:pt idx="16">
                <c:v>-20</c:v>
              </c:pt>
              <c:pt idx="17">
                <c:v>-20</c:v>
              </c:pt>
              <c:pt idx="18">
                <c:v>-20</c:v>
              </c:pt>
              <c:pt idx="19">
                <c:v>-20</c:v>
              </c:pt>
              <c:pt idx="20">
                <c:v>-25</c:v>
              </c:pt>
              <c:pt idx="21">
                <c:v>-25</c:v>
              </c:pt>
              <c:pt idx="22">
                <c:v>-25</c:v>
              </c:pt>
              <c:pt idx="23">
                <c:v>-25</c:v>
              </c:pt>
              <c:pt idx="24">
                <c:v>-25</c:v>
              </c:pt>
            </c:numLit>
          </c:xVal>
          <c:yVal>
            <c:numLit>
              <c:formatCode>General</c:formatCode>
              <c:ptCount val="25"/>
              <c:pt idx="0">
                <c:v>5</c:v>
              </c:pt>
              <c:pt idx="1">
                <c:v>10</c:v>
              </c:pt>
              <c:pt idx="2">
                <c:v>15</c:v>
              </c:pt>
              <c:pt idx="3">
                <c:v>20</c:v>
              </c:pt>
              <c:pt idx="4">
                <c:v>25</c:v>
              </c:pt>
              <c:pt idx="5">
                <c:v>5</c:v>
              </c:pt>
              <c:pt idx="6">
                <c:v>10</c:v>
              </c:pt>
              <c:pt idx="7">
                <c:v>15</c:v>
              </c:pt>
              <c:pt idx="8">
                <c:v>20</c:v>
              </c:pt>
              <c:pt idx="9">
                <c:v>25</c:v>
              </c:pt>
              <c:pt idx="10">
                <c:v>5</c:v>
              </c:pt>
              <c:pt idx="11">
                <c:v>10</c:v>
              </c:pt>
              <c:pt idx="12">
                <c:v>15</c:v>
              </c:pt>
              <c:pt idx="13">
                <c:v>20</c:v>
              </c:pt>
              <c:pt idx="14">
                <c:v>25</c:v>
              </c:pt>
              <c:pt idx="15">
                <c:v>5</c:v>
              </c:pt>
              <c:pt idx="16">
                <c:v>10</c:v>
              </c:pt>
              <c:pt idx="17">
                <c:v>15</c:v>
              </c:pt>
              <c:pt idx="18">
                <c:v>20</c:v>
              </c:pt>
              <c:pt idx="19">
                <c:v>25</c:v>
              </c:pt>
              <c:pt idx="20">
                <c:v>5</c:v>
              </c:pt>
              <c:pt idx="21">
                <c:v>10</c:v>
              </c:pt>
              <c:pt idx="22">
                <c:v>15</c:v>
              </c:pt>
              <c:pt idx="23">
                <c:v>20</c:v>
              </c:pt>
              <c:pt idx="24">
                <c:v>25</c:v>
              </c:pt>
            </c:numLit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0"/>
              <c:layout/>
              <c:tx>
                <c:strRef>
                  <c:f>'Sensitivity Analysis'!$C$72</c:f>
                  <c:strCache>
                    <c:ptCount val="1"/>
                    <c:pt idx="0">
                      <c:v>54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{ED3B0596-156D-452A-BDFA-5C8C298DAE20}</c15:txfldGUID>
                      <c15:f>'Sensitivity Analysis'!$C$72</c15:f>
                      <c15:dlblFieldTableCache>
                        <c:ptCount val="1"/>
                        <c:pt idx="0">
                          <c:v>54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layout/>
              <c:tx>
                <c:strRef>
                  <c:f>'Sensitivity Analysis'!$C$73</c:f>
                  <c:strCache>
                    <c:ptCount val="1"/>
                    <c:pt idx="0">
                      <c:v>83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{EB4DDAF7-63CA-4E71-952A-4341222078C6}</c15:txfldGUID>
                      <c15:f>'Sensitivity Analysis'!$C$73</c15:f>
                      <c15:dlblFieldTableCache>
                        <c:ptCount val="1"/>
                        <c:pt idx="0">
                          <c:v>83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/>
              <c:tx>
                <c:strRef>
                  <c:f>'Sensitivity Analysis'!$C$74</c:f>
                  <c:strCache>
                    <c:ptCount val="1"/>
                    <c:pt idx="0">
                      <c:v>111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{721ACC35-5161-4A66-A7C2-306C6C9E83C2}</c15:txfldGUID>
                      <c15:f>'Sensitivity Analysis'!$C$74</c15:f>
                      <c15:dlblFieldTableCache>
                        <c:ptCount val="1"/>
                        <c:pt idx="0">
                          <c:v>111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layout/>
              <c:tx>
                <c:strRef>
                  <c:f>'Sensitivity Analysis'!$C$75</c:f>
                  <c:strCache>
                    <c:ptCount val="1"/>
                    <c:pt idx="0">
                      <c:v>142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{CC85FB85-3D1F-4249-B62B-F2BDD2D62CDD}</c15:txfldGUID>
                      <c15:f>'Sensitivity Analysis'!$C$75</c15:f>
                      <c15:dlblFieldTableCache>
                        <c:ptCount val="1"/>
                        <c:pt idx="0">
                          <c:v>142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layout/>
              <c:tx>
                <c:strRef>
                  <c:f>'Sensitivity Analysis'!$C$76</c:f>
                  <c:strCache>
                    <c:ptCount val="1"/>
                    <c:pt idx="0">
                      <c:v>171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{2BBAB694-4581-463B-9CB7-84C97D2D8869}</c15:txfldGUID>
                      <c15:f>'Sensitivity Analysis'!$C$76</c15:f>
                      <c15:dlblFieldTableCache>
                        <c:ptCount val="1"/>
                        <c:pt idx="0">
                          <c:v>171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"/>
              <c:layout/>
              <c:tx>
                <c:strRef>
                  <c:f>'Sensitivity Analysis'!$C$77</c:f>
                  <c:strCache>
                    <c:ptCount val="1"/>
                    <c:pt idx="0">
                      <c:v>121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{5628576C-0186-4900-A53E-82B2B28A807B}</c15:txfldGUID>
                      <c15:f>'Sensitivity Analysis'!$C$77</c15:f>
                      <c15:dlblFieldTableCache>
                        <c:ptCount val="1"/>
                        <c:pt idx="0">
                          <c:v>121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"/>
              <c:layout/>
              <c:tx>
                <c:strRef>
                  <c:f>'Sensitivity Analysis'!$C$78</c:f>
                  <c:strCache>
                    <c:ptCount val="1"/>
                    <c:pt idx="0">
                      <c:v>154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{4922CE80-07B7-4B13-8E0F-C26EE3C46732}</c15:txfldGUID>
                      <c15:f>'Sensitivity Analysis'!$C$78</c15:f>
                      <c15:dlblFieldTableCache>
                        <c:ptCount val="1"/>
                        <c:pt idx="0">
                          <c:v>154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"/>
              <c:layout/>
              <c:tx>
                <c:strRef>
                  <c:f>'Sensitivity Analysis'!$C$79</c:f>
                  <c:strCache>
                    <c:ptCount val="1"/>
                    <c:pt idx="0">
                      <c:v>184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{09BAEEBD-647B-4300-AF57-4B0A9555E7B0}</c15:txfldGUID>
                      <c15:f>'Sensitivity Analysis'!$C$79</c15:f>
                      <c15:dlblFieldTableCache>
                        <c:ptCount val="1"/>
                        <c:pt idx="0">
                          <c:v>184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8"/>
              <c:layout/>
              <c:tx>
                <c:strRef>
                  <c:f>'Sensitivity Analysis'!$C$80</c:f>
                  <c:strCache>
                    <c:ptCount val="1"/>
                    <c:pt idx="0">
                      <c:v>218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{88199AF1-BC62-45F6-A31E-083DAACA7DA0}</c15:txfldGUID>
                      <c15:f>'Sensitivity Analysis'!$C$80</c15:f>
                      <c15:dlblFieldTableCache>
                        <c:ptCount val="1"/>
                        <c:pt idx="0">
                          <c:v>218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9"/>
              <c:layout/>
              <c:tx>
                <c:strRef>
                  <c:f>'Sensitivity Analysis'!$C$81</c:f>
                  <c:strCache>
                    <c:ptCount val="1"/>
                    <c:pt idx="0">
                      <c:v>251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{450538F7-7404-4B97-B4CB-3391F0070B5D}</c15:txfldGUID>
                      <c15:f>'Sensitivity Analysis'!$C$81</c15:f>
                      <c15:dlblFieldTableCache>
                        <c:ptCount val="1"/>
                        <c:pt idx="0">
                          <c:v>251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0"/>
              <c:layout/>
              <c:tx>
                <c:strRef>
                  <c:f>'Sensitivity Analysis'!$C$82</c:f>
                  <c:strCache>
                    <c:ptCount val="1"/>
                    <c:pt idx="0">
                      <c:v>209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{48ED2914-A642-4557-8E96-B6C257727CD4}</c15:txfldGUID>
                      <c15:f>'Sensitivity Analysis'!$C$82</c15:f>
                      <c15:dlblFieldTableCache>
                        <c:ptCount val="1"/>
                        <c:pt idx="0">
                          <c:v>209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1"/>
              <c:layout/>
              <c:tx>
                <c:strRef>
                  <c:f>'Sensitivity Analysis'!$C$83</c:f>
                  <c:strCache>
                    <c:ptCount val="1"/>
                    <c:pt idx="0">
                      <c:v>245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{9BEDBD65-8C30-4C3F-811F-D3F8DBCF6055}</c15:txfldGUID>
                      <c15:f>'Sensitivity Analysis'!$C$83</c15:f>
                      <c15:dlblFieldTableCache>
                        <c:ptCount val="1"/>
                        <c:pt idx="0">
                          <c:v>245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2"/>
              <c:layout/>
              <c:tx>
                <c:strRef>
                  <c:f>'Sensitivity Analysis'!$C$84</c:f>
                  <c:strCache>
                    <c:ptCount val="1"/>
                    <c:pt idx="0">
                      <c:v>279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1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{D4E8BC3B-E947-4BB5-A415-9E9B679B07E2}</c15:txfldGUID>
                      <c15:f>'Sensitivity Analysis'!$C$84</c15:f>
                      <c15:dlblFieldTableCache>
                        <c:ptCount val="1"/>
                        <c:pt idx="0">
                          <c:v>279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3"/>
              <c:layout/>
              <c:tx>
                <c:strRef>
                  <c:f>'Sensitivity Analysis'!$C$85</c:f>
                  <c:strCache>
                    <c:ptCount val="1"/>
                    <c:pt idx="0">
                      <c:v>318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{24028821-DD05-46F6-BC3B-3FEB41BA2190}</c15:txfldGUID>
                      <c15:f>'Sensitivity Analysis'!$C$85</c15:f>
                      <c15:dlblFieldTableCache>
                        <c:ptCount val="1"/>
                        <c:pt idx="0">
                          <c:v>318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4"/>
              <c:layout/>
              <c:tx>
                <c:strRef>
                  <c:f>'Sensitivity Analysis'!$C$86</c:f>
                  <c:strCache>
                    <c:ptCount val="1"/>
                    <c:pt idx="0">
                      <c:v>355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{A544E235-F6CB-404C-A884-253C60BC4045}</c15:txfldGUID>
                      <c15:f>'Sensitivity Analysis'!$C$86</c15:f>
                      <c15:dlblFieldTableCache>
                        <c:ptCount val="1"/>
                        <c:pt idx="0">
                          <c:v>355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5"/>
              <c:layout/>
              <c:tx>
                <c:strRef>
                  <c:f>'Sensitivity Analysis'!$C$87</c:f>
                  <c:strCache>
                    <c:ptCount val="1"/>
                    <c:pt idx="0">
                      <c:v>327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{49A6BFF4-1CD6-44C9-AD09-2C1DED099553}</c15:txfldGUID>
                      <c15:f>'Sensitivity Analysis'!$C$87</c15:f>
                      <c15:dlblFieldTableCache>
                        <c:ptCount val="1"/>
                        <c:pt idx="0">
                          <c:v>327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6"/>
              <c:layout/>
              <c:tx>
                <c:strRef>
                  <c:f>'Sensitivity Analysis'!$C$88</c:f>
                  <c:strCache>
                    <c:ptCount val="1"/>
                    <c:pt idx="0">
                      <c:v>368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{C4F68D17-94E4-4356-B230-D6C3345B869B}</c15:txfldGUID>
                      <c15:f>'Sensitivity Analysis'!$C$88</c15:f>
                      <c15:dlblFieldTableCache>
                        <c:ptCount val="1"/>
                        <c:pt idx="0">
                          <c:v>368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7"/>
              <c:layout/>
              <c:tx>
                <c:strRef>
                  <c:f>'Sensitivity Analysis'!$C$89</c:f>
                  <c:strCache>
                    <c:ptCount val="1"/>
                    <c:pt idx="0">
                      <c:v>408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{8CEA31A2-45CB-42FC-BB51-0984E2F3D6DC}</c15:txfldGUID>
                      <c15:f>'Sensitivity Analysis'!$C$89</c15:f>
                      <c15:dlblFieldTableCache>
                        <c:ptCount val="1"/>
                        <c:pt idx="0">
                          <c:v>408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8"/>
              <c:layout/>
              <c:tx>
                <c:strRef>
                  <c:f>'Sensitivity Analysis'!$C$90</c:f>
                  <c:strCache>
                    <c:ptCount val="1"/>
                    <c:pt idx="0">
                      <c:v>452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{190483EC-2382-4434-B018-C7C97990669D}</c15:txfldGUID>
                      <c15:f>'Sensitivity Analysis'!$C$90</c15:f>
                      <c15:dlblFieldTableCache>
                        <c:ptCount val="1"/>
                        <c:pt idx="0">
                          <c:v>452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9"/>
              <c:layout/>
              <c:tx>
                <c:strRef>
                  <c:f>'Sensitivity Analysis'!$C$91</c:f>
                  <c:strCache>
                    <c:ptCount val="1"/>
                    <c:pt idx="0">
                      <c:v>494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{C44EE08F-A085-4090-BB14-704249189044}</c15:txfldGUID>
                      <c15:f>'Sensitivity Analysis'!$C$91</c15:f>
                      <c15:dlblFieldTableCache>
                        <c:ptCount val="1"/>
                        <c:pt idx="0">
                          <c:v>494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0"/>
              <c:layout/>
              <c:tx>
                <c:strRef>
                  <c:f>'Sensitivity Analysis'!$C$92</c:f>
                  <c:strCache>
                    <c:ptCount val="1"/>
                    <c:pt idx="0">
                      <c:v>493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{E2464BD8-831A-4457-886F-086AE228527B}</c15:txfldGUID>
                      <c15:f>'Sensitivity Analysis'!$C$92</c15:f>
                      <c15:dlblFieldTableCache>
                        <c:ptCount val="1"/>
                        <c:pt idx="0">
                          <c:v>493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1"/>
              <c:layout/>
              <c:tx>
                <c:strRef>
                  <c:f>'Sensitivity Analysis'!$C$93</c:f>
                  <c:strCache>
                    <c:ptCount val="1"/>
                    <c:pt idx="0">
                      <c:v>543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{7E6CCD8D-C9A4-49EA-91A0-0EF6F8FB2EA4}</c15:txfldGUID>
                      <c15:f>'Sensitivity Analysis'!$C$93</c15:f>
                      <c15:dlblFieldTableCache>
                        <c:ptCount val="1"/>
                        <c:pt idx="0">
                          <c:v>543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2"/>
              <c:layout/>
              <c:tx>
                <c:strRef>
                  <c:f>'Sensitivity Analysis'!$C$94</c:f>
                  <c:strCache>
                    <c:ptCount val="1"/>
                    <c:pt idx="0">
                      <c:v>589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{FC45BBEE-4803-4B32-ABFF-6017D59CB08E}</c15:txfldGUID>
                      <c15:f>'Sensitivity Analysis'!$C$94</c15:f>
                      <c15:dlblFieldTableCache>
                        <c:ptCount val="1"/>
                        <c:pt idx="0">
                          <c:v>589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3"/>
              <c:layout/>
              <c:tx>
                <c:strRef>
                  <c:f>'Sensitivity Analysis'!$C$95</c:f>
                  <c:strCache>
                    <c:ptCount val="1"/>
                    <c:pt idx="0">
                      <c:v>642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{AFB27D44-FCB5-443B-B7B3-422C30C323B3}</c15:txfldGUID>
                      <c15:f>'Sensitivity Analysis'!$C$95</c15:f>
                      <c15:dlblFieldTableCache>
                        <c:ptCount val="1"/>
                        <c:pt idx="0">
                          <c:v>642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4"/>
              <c:layout/>
              <c:tx>
                <c:strRef>
                  <c:f>'Sensitivity Analysis'!$C$96</c:f>
                  <c:strCache>
                    <c:ptCount val="1"/>
                    <c:pt idx="0">
                      <c:v>691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strike="noStrike">
                      <a:latin typeface="Calibri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{2E390B94-55E6-4AA9-A6C4-BC8F45D3C376}</c15:txfldGUID>
                      <c15:f>'Sensitivity Analysis'!$C$96</c15:f>
                      <c15:dlblFieldTableCache>
                        <c:ptCount val="1"/>
                        <c:pt idx="0">
                          <c:v>691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25"/>
              <c:pt idx="0">
                <c:v>-5</c:v>
              </c:pt>
              <c:pt idx="1">
                <c:v>-5</c:v>
              </c:pt>
              <c:pt idx="2">
                <c:v>-5</c:v>
              </c:pt>
              <c:pt idx="3">
                <c:v>-5</c:v>
              </c:pt>
              <c:pt idx="4">
                <c:v>-5</c:v>
              </c:pt>
              <c:pt idx="5">
                <c:v>-10</c:v>
              </c:pt>
              <c:pt idx="6">
                <c:v>-10</c:v>
              </c:pt>
              <c:pt idx="7">
                <c:v>-10</c:v>
              </c:pt>
              <c:pt idx="8">
                <c:v>-10</c:v>
              </c:pt>
              <c:pt idx="9">
                <c:v>-10</c:v>
              </c:pt>
              <c:pt idx="10">
                <c:v>-15</c:v>
              </c:pt>
              <c:pt idx="11">
                <c:v>-15</c:v>
              </c:pt>
              <c:pt idx="12">
                <c:v>-15</c:v>
              </c:pt>
              <c:pt idx="13">
                <c:v>-15</c:v>
              </c:pt>
              <c:pt idx="14">
                <c:v>-15</c:v>
              </c:pt>
              <c:pt idx="15">
                <c:v>-20</c:v>
              </c:pt>
              <c:pt idx="16">
                <c:v>-20</c:v>
              </c:pt>
              <c:pt idx="17">
                <c:v>-20</c:v>
              </c:pt>
              <c:pt idx="18">
                <c:v>-20</c:v>
              </c:pt>
              <c:pt idx="19">
                <c:v>-20</c:v>
              </c:pt>
              <c:pt idx="20">
                <c:v>-25</c:v>
              </c:pt>
              <c:pt idx="21">
                <c:v>-25</c:v>
              </c:pt>
              <c:pt idx="22">
                <c:v>-25</c:v>
              </c:pt>
              <c:pt idx="23">
                <c:v>-25</c:v>
              </c:pt>
              <c:pt idx="24">
                <c:v>-25</c:v>
              </c:pt>
            </c:numLit>
          </c:xVal>
          <c:yVal>
            <c:numLit>
              <c:formatCode>General</c:formatCode>
              <c:ptCount val="25"/>
              <c:pt idx="0">
                <c:v>-5</c:v>
              </c:pt>
              <c:pt idx="1">
                <c:v>-10</c:v>
              </c:pt>
              <c:pt idx="2">
                <c:v>-15</c:v>
              </c:pt>
              <c:pt idx="3">
                <c:v>-20</c:v>
              </c:pt>
              <c:pt idx="4">
                <c:v>-25</c:v>
              </c:pt>
              <c:pt idx="5">
                <c:v>-5</c:v>
              </c:pt>
              <c:pt idx="6">
                <c:v>-10</c:v>
              </c:pt>
              <c:pt idx="7">
                <c:v>-15</c:v>
              </c:pt>
              <c:pt idx="8">
                <c:v>-20</c:v>
              </c:pt>
              <c:pt idx="9">
                <c:v>-25</c:v>
              </c:pt>
              <c:pt idx="10">
                <c:v>-5</c:v>
              </c:pt>
              <c:pt idx="11">
                <c:v>-10</c:v>
              </c:pt>
              <c:pt idx="12">
                <c:v>-15</c:v>
              </c:pt>
              <c:pt idx="13">
                <c:v>-20</c:v>
              </c:pt>
              <c:pt idx="14">
                <c:v>-25</c:v>
              </c:pt>
              <c:pt idx="15">
                <c:v>-5</c:v>
              </c:pt>
              <c:pt idx="16">
                <c:v>-10</c:v>
              </c:pt>
              <c:pt idx="17">
                <c:v>-15</c:v>
              </c:pt>
              <c:pt idx="18">
                <c:v>-20</c:v>
              </c:pt>
              <c:pt idx="19">
                <c:v>-25</c:v>
              </c:pt>
              <c:pt idx="20">
                <c:v>-5</c:v>
              </c:pt>
              <c:pt idx="21">
                <c:v>-10</c:v>
              </c:pt>
              <c:pt idx="22">
                <c:v>-15</c:v>
              </c:pt>
              <c:pt idx="23">
                <c:v>-20</c:v>
              </c:pt>
              <c:pt idx="24">
                <c:v>-25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4710672"/>
        <c:axId val="-2144710128"/>
      </c:scatterChart>
      <c:valAx>
        <c:axId val="-2144710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44710128"/>
        <c:crosses val="autoZero"/>
        <c:crossBetween val="midCat"/>
      </c:valAx>
      <c:valAx>
        <c:axId val="-2144710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1447106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862B6D03-1F04-4DD5-9D74-48E9587C5CCE}" type="doc">
      <dgm:prSet loTypeId="urn:microsoft.com/office/officeart/2005/8/layout/hChevron3" loCatId="process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06BADE23-350D-4357-8760-91BD79F4A9A0}">
      <dgm:prSet phldrT="[Text]" custT="1"/>
      <dgm:spPr>
        <a:solidFill>
          <a:srgbClr val="FF0000"/>
        </a:solidFill>
      </dgm:spPr>
      <dgm:t>
        <a:bodyPr/>
        <a:lstStyle/>
        <a:p>
          <a:r>
            <a:rPr lang="en-US" sz="1000" b="0">
              <a:latin typeface="Calibri" panose="020F0502020204030204" pitchFamily="34" charset="0"/>
            </a:rPr>
            <a:t>13%</a:t>
          </a:r>
        </a:p>
      </dgm:t>
    </dgm:pt>
    <dgm:pt modelId="{54F7EBA8-4F5B-45EC-A66C-AFF88EC56205}" type="parTrans" cxnId="{A09B3941-5D2A-4862-A949-31039F81CE97}">
      <dgm:prSet/>
      <dgm:spPr/>
      <dgm:t>
        <a:bodyPr/>
        <a:lstStyle/>
        <a:p>
          <a:endParaRPr lang="en-US" sz="1000" b="0">
            <a:latin typeface="Calibri" panose="020F0502020204030204" pitchFamily="34" charset="0"/>
          </a:endParaRPr>
        </a:p>
      </dgm:t>
    </dgm:pt>
    <dgm:pt modelId="{4EA9381B-6AAE-4166-8339-0D71C25F38C7}" type="sibTrans" cxnId="{A09B3941-5D2A-4862-A949-31039F81CE97}">
      <dgm:prSet/>
      <dgm:spPr/>
      <dgm:t>
        <a:bodyPr/>
        <a:lstStyle/>
        <a:p>
          <a:endParaRPr lang="en-US" sz="1000" b="0">
            <a:latin typeface="Calibri" panose="020F0502020204030204" pitchFamily="34" charset="0"/>
          </a:endParaRPr>
        </a:p>
      </dgm:t>
    </dgm:pt>
    <dgm:pt modelId="{1ADF69B6-98D6-4653-846A-611C483D21D1}">
      <dgm:prSet phldrT="[Text]" custT="1"/>
      <dgm:spPr>
        <a:solidFill>
          <a:srgbClr val="FF7171"/>
        </a:solidFill>
      </dgm:spPr>
      <dgm:t>
        <a:bodyPr/>
        <a:lstStyle/>
        <a:p>
          <a:r>
            <a:rPr lang="en-US" sz="1000" b="0">
              <a:latin typeface="Calibri" panose="020F0502020204030204" pitchFamily="34" charset="0"/>
            </a:rPr>
            <a:t>14%</a:t>
          </a:r>
        </a:p>
      </dgm:t>
    </dgm:pt>
    <dgm:pt modelId="{3DF66D0B-08D6-4EC1-9903-F5AC6DDD2533}" type="parTrans" cxnId="{B66EE1D2-A827-424A-8E19-D1977AEB87D3}">
      <dgm:prSet/>
      <dgm:spPr/>
      <dgm:t>
        <a:bodyPr/>
        <a:lstStyle/>
        <a:p>
          <a:endParaRPr lang="en-US" sz="1000" b="0">
            <a:latin typeface="Calibri" panose="020F0502020204030204" pitchFamily="34" charset="0"/>
          </a:endParaRPr>
        </a:p>
      </dgm:t>
    </dgm:pt>
    <dgm:pt modelId="{3C860558-0666-4E36-A860-A7927AE6691A}" type="sibTrans" cxnId="{B66EE1D2-A827-424A-8E19-D1977AEB87D3}">
      <dgm:prSet/>
      <dgm:spPr/>
      <dgm:t>
        <a:bodyPr/>
        <a:lstStyle/>
        <a:p>
          <a:endParaRPr lang="en-US" sz="1000" b="0">
            <a:latin typeface="Calibri" panose="020F0502020204030204" pitchFamily="34" charset="0"/>
          </a:endParaRPr>
        </a:p>
      </dgm:t>
    </dgm:pt>
    <dgm:pt modelId="{5DFBDF51-3CDF-47B4-A891-2C17B58C5EF7}">
      <dgm:prSet phldrT="[Text]" custT="1"/>
      <dgm:spPr>
        <a:solidFill>
          <a:srgbClr val="F5F55D"/>
        </a:solidFill>
      </dgm:spPr>
      <dgm:t>
        <a:bodyPr/>
        <a:lstStyle/>
        <a:p>
          <a:r>
            <a:rPr lang="en-US" sz="1000" b="0">
              <a:solidFill>
                <a:sysClr val="windowText" lastClr="000000"/>
              </a:solidFill>
              <a:latin typeface="Calibri" panose="020F0502020204030204" pitchFamily="34" charset="0"/>
            </a:rPr>
            <a:t>15%</a:t>
          </a:r>
        </a:p>
      </dgm:t>
    </dgm:pt>
    <dgm:pt modelId="{302934DF-0828-48C2-AE46-6A069F505267}" type="parTrans" cxnId="{A6E0D3DD-341E-46F4-B623-F116CD9B3EFC}">
      <dgm:prSet/>
      <dgm:spPr/>
      <dgm:t>
        <a:bodyPr/>
        <a:lstStyle/>
        <a:p>
          <a:endParaRPr lang="en-US" sz="1000" b="0">
            <a:latin typeface="Calibri" panose="020F0502020204030204" pitchFamily="34" charset="0"/>
          </a:endParaRPr>
        </a:p>
      </dgm:t>
    </dgm:pt>
    <dgm:pt modelId="{3D8EAAE3-D81B-4A30-BC09-56ECBDD499AB}" type="sibTrans" cxnId="{A6E0D3DD-341E-46F4-B623-F116CD9B3EFC}">
      <dgm:prSet/>
      <dgm:spPr/>
      <dgm:t>
        <a:bodyPr/>
        <a:lstStyle/>
        <a:p>
          <a:endParaRPr lang="en-US" sz="1000" b="0">
            <a:latin typeface="Calibri" panose="020F0502020204030204" pitchFamily="34" charset="0"/>
          </a:endParaRPr>
        </a:p>
      </dgm:t>
    </dgm:pt>
    <dgm:pt modelId="{D9C5F78C-3F3F-4C63-A883-F38398EB96EA}">
      <dgm:prSet phldrT="[Text]" custT="1"/>
      <dgm:spPr>
        <a:solidFill>
          <a:srgbClr val="00E668"/>
        </a:solidFill>
      </dgm:spPr>
      <dgm:t>
        <a:bodyPr/>
        <a:lstStyle/>
        <a:p>
          <a:r>
            <a:rPr lang="en-US" sz="1000" b="0">
              <a:latin typeface="Calibri" panose="020F0502020204030204" pitchFamily="34" charset="0"/>
            </a:rPr>
            <a:t>16%</a:t>
          </a:r>
        </a:p>
      </dgm:t>
    </dgm:pt>
    <dgm:pt modelId="{5F967F5C-2271-4F59-94CD-2F720EA1E623}" type="parTrans" cxnId="{BCF4E156-8F58-4C60-9B02-81CAF0A6523E}">
      <dgm:prSet/>
      <dgm:spPr/>
      <dgm:t>
        <a:bodyPr/>
        <a:lstStyle/>
        <a:p>
          <a:endParaRPr lang="en-US" sz="1000" b="0">
            <a:latin typeface="Calibri" panose="020F0502020204030204" pitchFamily="34" charset="0"/>
          </a:endParaRPr>
        </a:p>
      </dgm:t>
    </dgm:pt>
    <dgm:pt modelId="{B9C58100-70D2-46A1-A3B0-EF9C6C3CA8F3}" type="sibTrans" cxnId="{BCF4E156-8F58-4C60-9B02-81CAF0A6523E}">
      <dgm:prSet/>
      <dgm:spPr/>
      <dgm:t>
        <a:bodyPr/>
        <a:lstStyle/>
        <a:p>
          <a:endParaRPr lang="en-US" sz="1000" b="0">
            <a:latin typeface="Calibri" panose="020F0502020204030204" pitchFamily="34" charset="0"/>
          </a:endParaRPr>
        </a:p>
      </dgm:t>
    </dgm:pt>
    <dgm:pt modelId="{D52EC238-5BE9-4CAC-9E42-DD0376E697D4}">
      <dgm:prSet phldrT="[Text]" custT="1"/>
      <dgm:spPr>
        <a:solidFill>
          <a:srgbClr val="05A70D"/>
        </a:solidFill>
      </dgm:spPr>
      <dgm:t>
        <a:bodyPr/>
        <a:lstStyle/>
        <a:p>
          <a:r>
            <a:rPr lang="en-US" sz="1000" b="0">
              <a:latin typeface="Calibri" panose="020F0502020204030204" pitchFamily="34" charset="0"/>
            </a:rPr>
            <a:t>17%</a:t>
          </a:r>
        </a:p>
      </dgm:t>
    </dgm:pt>
    <dgm:pt modelId="{57A39D42-7B0E-4DA4-9A91-39C641B5A225}" type="parTrans" cxnId="{19D68DA0-4C2D-4CF2-8B9D-0200D498C018}">
      <dgm:prSet/>
      <dgm:spPr/>
      <dgm:t>
        <a:bodyPr/>
        <a:lstStyle/>
        <a:p>
          <a:endParaRPr lang="en-US" sz="1000" b="0">
            <a:latin typeface="Calibri" panose="020F0502020204030204" pitchFamily="34" charset="0"/>
          </a:endParaRPr>
        </a:p>
      </dgm:t>
    </dgm:pt>
    <dgm:pt modelId="{8A2071B2-2F4F-4624-8F93-F617188E920B}" type="sibTrans" cxnId="{19D68DA0-4C2D-4CF2-8B9D-0200D498C018}">
      <dgm:prSet/>
      <dgm:spPr/>
      <dgm:t>
        <a:bodyPr/>
        <a:lstStyle/>
        <a:p>
          <a:endParaRPr lang="en-US" sz="1000" b="0">
            <a:latin typeface="Calibri" panose="020F0502020204030204" pitchFamily="34" charset="0"/>
          </a:endParaRPr>
        </a:p>
      </dgm:t>
    </dgm:pt>
    <dgm:pt modelId="{AC3A3416-529C-4AC6-8629-E2533435590B}" type="pres">
      <dgm:prSet presAssocID="{862B6D03-1F04-4DD5-9D74-48E9587C5CCE}" presName="Name0" presStyleCnt="0">
        <dgm:presLayoutVars>
          <dgm:dir/>
          <dgm:resizeHandles val="exact"/>
        </dgm:presLayoutVars>
      </dgm:prSet>
      <dgm:spPr/>
      <dgm:t>
        <a:bodyPr/>
        <a:lstStyle/>
        <a:p>
          <a:endParaRPr lang="en-US"/>
        </a:p>
      </dgm:t>
    </dgm:pt>
    <dgm:pt modelId="{D974FC0B-8FD7-4C55-AD02-7A3EAA079BAA}" type="pres">
      <dgm:prSet presAssocID="{06BADE23-350D-4357-8760-91BD79F4A9A0}" presName="parTxOnly" presStyleLbl="node1" presStyleIdx="0" presStyleCnt="5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74060D9F-A0AD-4A7C-8134-DDF408C72A38}" type="pres">
      <dgm:prSet presAssocID="{4EA9381B-6AAE-4166-8339-0D71C25F38C7}" presName="parSpace" presStyleCnt="0"/>
      <dgm:spPr/>
    </dgm:pt>
    <dgm:pt modelId="{22007059-8C0D-4576-A60C-DE32C48345BA}" type="pres">
      <dgm:prSet presAssocID="{1ADF69B6-98D6-4653-846A-611C483D21D1}" presName="parTxOnly" presStyleLbl="node1" presStyleIdx="1" presStyleCnt="5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1A567A68-A868-4043-AE19-DBA8FF7B3793}" type="pres">
      <dgm:prSet presAssocID="{3C860558-0666-4E36-A860-A7927AE6691A}" presName="parSpace" presStyleCnt="0"/>
      <dgm:spPr/>
    </dgm:pt>
    <dgm:pt modelId="{25AD66FE-3390-4A7F-AEF8-0A4A57EEC2AD}" type="pres">
      <dgm:prSet presAssocID="{5DFBDF51-3CDF-47B4-A891-2C17B58C5EF7}" presName="parTxOnly" presStyleLbl="node1" presStyleIdx="2" presStyleCnt="5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17F40798-160A-4689-8A00-2E6E81CAD97C}" type="pres">
      <dgm:prSet presAssocID="{3D8EAAE3-D81B-4A30-BC09-56ECBDD499AB}" presName="parSpace" presStyleCnt="0"/>
      <dgm:spPr/>
    </dgm:pt>
    <dgm:pt modelId="{AEA86555-0E20-4732-BCAC-BA90C3E44815}" type="pres">
      <dgm:prSet presAssocID="{D9C5F78C-3F3F-4C63-A883-F38398EB96EA}" presName="parTxOnly" presStyleLbl="node1" presStyleIdx="3" presStyleCnt="5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883F9839-05C8-4C8E-A1E3-84BED37A159F}" type="pres">
      <dgm:prSet presAssocID="{B9C58100-70D2-46A1-A3B0-EF9C6C3CA8F3}" presName="parSpace" presStyleCnt="0"/>
      <dgm:spPr/>
    </dgm:pt>
    <dgm:pt modelId="{162165AD-A683-4F5C-BAA9-79F2501E8EE3}" type="pres">
      <dgm:prSet presAssocID="{D52EC238-5BE9-4CAC-9E42-DD0376E697D4}" presName="parTxOnly" presStyleLbl="node1" presStyleIdx="4" presStyleCnt="5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DB7870D5-DB9B-4B16-A4FA-98D8948C91DB}" type="presOf" srcId="{D9C5F78C-3F3F-4C63-A883-F38398EB96EA}" destId="{AEA86555-0E20-4732-BCAC-BA90C3E44815}" srcOrd="0" destOrd="0" presId="urn:microsoft.com/office/officeart/2005/8/layout/hChevron3"/>
    <dgm:cxn modelId="{EFCE6386-0B54-41C2-B1A6-DC65E0D6B4FF}" type="presOf" srcId="{06BADE23-350D-4357-8760-91BD79F4A9A0}" destId="{D974FC0B-8FD7-4C55-AD02-7A3EAA079BAA}" srcOrd="0" destOrd="0" presId="urn:microsoft.com/office/officeart/2005/8/layout/hChevron3"/>
    <dgm:cxn modelId="{BCF4E156-8F58-4C60-9B02-81CAF0A6523E}" srcId="{862B6D03-1F04-4DD5-9D74-48E9587C5CCE}" destId="{D9C5F78C-3F3F-4C63-A883-F38398EB96EA}" srcOrd="3" destOrd="0" parTransId="{5F967F5C-2271-4F59-94CD-2F720EA1E623}" sibTransId="{B9C58100-70D2-46A1-A3B0-EF9C6C3CA8F3}"/>
    <dgm:cxn modelId="{A6E0D3DD-341E-46F4-B623-F116CD9B3EFC}" srcId="{862B6D03-1F04-4DD5-9D74-48E9587C5CCE}" destId="{5DFBDF51-3CDF-47B4-A891-2C17B58C5EF7}" srcOrd="2" destOrd="0" parTransId="{302934DF-0828-48C2-AE46-6A069F505267}" sibTransId="{3D8EAAE3-D81B-4A30-BC09-56ECBDD499AB}"/>
    <dgm:cxn modelId="{19D68DA0-4C2D-4CF2-8B9D-0200D498C018}" srcId="{862B6D03-1F04-4DD5-9D74-48E9587C5CCE}" destId="{D52EC238-5BE9-4CAC-9E42-DD0376E697D4}" srcOrd="4" destOrd="0" parTransId="{57A39D42-7B0E-4DA4-9A91-39C641B5A225}" sibTransId="{8A2071B2-2F4F-4624-8F93-F617188E920B}"/>
    <dgm:cxn modelId="{602FFA19-241A-4347-B26D-74C9EAD5C58C}" type="presOf" srcId="{5DFBDF51-3CDF-47B4-A891-2C17B58C5EF7}" destId="{25AD66FE-3390-4A7F-AEF8-0A4A57EEC2AD}" srcOrd="0" destOrd="0" presId="urn:microsoft.com/office/officeart/2005/8/layout/hChevron3"/>
    <dgm:cxn modelId="{A09B3941-5D2A-4862-A949-31039F81CE97}" srcId="{862B6D03-1F04-4DD5-9D74-48E9587C5CCE}" destId="{06BADE23-350D-4357-8760-91BD79F4A9A0}" srcOrd="0" destOrd="0" parTransId="{54F7EBA8-4F5B-45EC-A66C-AFF88EC56205}" sibTransId="{4EA9381B-6AAE-4166-8339-0D71C25F38C7}"/>
    <dgm:cxn modelId="{B66EE1D2-A827-424A-8E19-D1977AEB87D3}" srcId="{862B6D03-1F04-4DD5-9D74-48E9587C5CCE}" destId="{1ADF69B6-98D6-4653-846A-611C483D21D1}" srcOrd="1" destOrd="0" parTransId="{3DF66D0B-08D6-4EC1-9903-F5AC6DDD2533}" sibTransId="{3C860558-0666-4E36-A860-A7927AE6691A}"/>
    <dgm:cxn modelId="{A98E29D5-DAD6-4F88-B90D-18D35F2DBC68}" type="presOf" srcId="{1ADF69B6-98D6-4653-846A-611C483D21D1}" destId="{22007059-8C0D-4576-A60C-DE32C48345BA}" srcOrd="0" destOrd="0" presId="urn:microsoft.com/office/officeart/2005/8/layout/hChevron3"/>
    <dgm:cxn modelId="{B7F1792F-61C4-47D6-B6A1-BC63A6D94828}" type="presOf" srcId="{D52EC238-5BE9-4CAC-9E42-DD0376E697D4}" destId="{162165AD-A683-4F5C-BAA9-79F2501E8EE3}" srcOrd="0" destOrd="0" presId="urn:microsoft.com/office/officeart/2005/8/layout/hChevron3"/>
    <dgm:cxn modelId="{53B09422-814A-4F50-95B4-786115F4FD2B}" type="presOf" srcId="{862B6D03-1F04-4DD5-9D74-48E9587C5CCE}" destId="{AC3A3416-529C-4AC6-8629-E2533435590B}" srcOrd="0" destOrd="0" presId="urn:microsoft.com/office/officeart/2005/8/layout/hChevron3"/>
    <dgm:cxn modelId="{C0A74A46-7D6C-4EE7-87EE-C0E81F2D12AF}" type="presParOf" srcId="{AC3A3416-529C-4AC6-8629-E2533435590B}" destId="{D974FC0B-8FD7-4C55-AD02-7A3EAA079BAA}" srcOrd="0" destOrd="0" presId="urn:microsoft.com/office/officeart/2005/8/layout/hChevron3"/>
    <dgm:cxn modelId="{0818DE03-A3B0-4AA5-B6E1-0B6338C3CDE4}" type="presParOf" srcId="{AC3A3416-529C-4AC6-8629-E2533435590B}" destId="{74060D9F-A0AD-4A7C-8134-DDF408C72A38}" srcOrd="1" destOrd="0" presId="urn:microsoft.com/office/officeart/2005/8/layout/hChevron3"/>
    <dgm:cxn modelId="{AF3AD922-D4A6-45D7-AB38-51C2D9714A96}" type="presParOf" srcId="{AC3A3416-529C-4AC6-8629-E2533435590B}" destId="{22007059-8C0D-4576-A60C-DE32C48345BA}" srcOrd="2" destOrd="0" presId="urn:microsoft.com/office/officeart/2005/8/layout/hChevron3"/>
    <dgm:cxn modelId="{83CF98F5-5CDA-4ECD-9EC6-A6F6E50863B5}" type="presParOf" srcId="{AC3A3416-529C-4AC6-8629-E2533435590B}" destId="{1A567A68-A868-4043-AE19-DBA8FF7B3793}" srcOrd="3" destOrd="0" presId="urn:microsoft.com/office/officeart/2005/8/layout/hChevron3"/>
    <dgm:cxn modelId="{EFDD0FC8-20BE-458D-8DFD-1BCC71603E13}" type="presParOf" srcId="{AC3A3416-529C-4AC6-8629-E2533435590B}" destId="{25AD66FE-3390-4A7F-AEF8-0A4A57EEC2AD}" srcOrd="4" destOrd="0" presId="urn:microsoft.com/office/officeart/2005/8/layout/hChevron3"/>
    <dgm:cxn modelId="{648B6101-9456-4603-99A7-1B0327C3B55A}" type="presParOf" srcId="{AC3A3416-529C-4AC6-8629-E2533435590B}" destId="{17F40798-160A-4689-8A00-2E6E81CAD97C}" srcOrd="5" destOrd="0" presId="urn:microsoft.com/office/officeart/2005/8/layout/hChevron3"/>
    <dgm:cxn modelId="{08BD18D8-BBCA-4661-972B-A2AB5A18AF71}" type="presParOf" srcId="{AC3A3416-529C-4AC6-8629-E2533435590B}" destId="{AEA86555-0E20-4732-BCAC-BA90C3E44815}" srcOrd="6" destOrd="0" presId="urn:microsoft.com/office/officeart/2005/8/layout/hChevron3"/>
    <dgm:cxn modelId="{A1E697F5-D365-4A5D-B0B7-FED2AB2C84DA}" type="presParOf" srcId="{AC3A3416-529C-4AC6-8629-E2533435590B}" destId="{883F9839-05C8-4C8E-A1E3-84BED37A159F}" srcOrd="7" destOrd="0" presId="urn:microsoft.com/office/officeart/2005/8/layout/hChevron3"/>
    <dgm:cxn modelId="{AB6B7043-B9C9-4BB9-AF29-7A9999443B83}" type="presParOf" srcId="{AC3A3416-529C-4AC6-8629-E2533435590B}" destId="{162165AD-A683-4F5C-BAA9-79F2501E8EE3}" srcOrd="8" destOrd="0" presId="urn:microsoft.com/office/officeart/2005/8/layout/hChevron3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862B6D03-1F04-4DD5-9D74-48E9587C5CCE}" type="doc">
      <dgm:prSet loTypeId="urn:microsoft.com/office/officeart/2005/8/layout/hChevron3" loCatId="process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06BADE23-350D-4357-8760-91BD79F4A9A0}">
      <dgm:prSet phldrT="[Text]" custT="1"/>
      <dgm:spPr>
        <a:solidFill>
          <a:srgbClr val="FF0000"/>
        </a:solidFill>
      </dgm:spPr>
      <dgm:t>
        <a:bodyPr/>
        <a:lstStyle/>
        <a:p>
          <a:r>
            <a:rPr lang="en-US" sz="1000" b="0">
              <a:latin typeface="Calibri" panose="020F0502020204030204" pitchFamily="34" charset="0"/>
            </a:rPr>
            <a:t>13%</a:t>
          </a:r>
        </a:p>
      </dgm:t>
    </dgm:pt>
    <dgm:pt modelId="{54F7EBA8-4F5B-45EC-A66C-AFF88EC56205}" type="parTrans" cxnId="{A09B3941-5D2A-4862-A949-31039F81CE97}">
      <dgm:prSet/>
      <dgm:spPr/>
      <dgm:t>
        <a:bodyPr/>
        <a:lstStyle/>
        <a:p>
          <a:endParaRPr lang="en-US" sz="1000" b="0">
            <a:latin typeface="Calibri" panose="020F0502020204030204" pitchFamily="34" charset="0"/>
          </a:endParaRPr>
        </a:p>
      </dgm:t>
    </dgm:pt>
    <dgm:pt modelId="{4EA9381B-6AAE-4166-8339-0D71C25F38C7}" type="sibTrans" cxnId="{A09B3941-5D2A-4862-A949-31039F81CE97}">
      <dgm:prSet/>
      <dgm:spPr/>
      <dgm:t>
        <a:bodyPr/>
        <a:lstStyle/>
        <a:p>
          <a:endParaRPr lang="en-US" sz="1000" b="0">
            <a:latin typeface="Calibri" panose="020F0502020204030204" pitchFamily="34" charset="0"/>
          </a:endParaRPr>
        </a:p>
      </dgm:t>
    </dgm:pt>
    <dgm:pt modelId="{1ADF69B6-98D6-4653-846A-611C483D21D1}">
      <dgm:prSet phldrT="[Text]" custT="1"/>
      <dgm:spPr>
        <a:solidFill>
          <a:srgbClr val="FF7171"/>
        </a:solidFill>
      </dgm:spPr>
      <dgm:t>
        <a:bodyPr/>
        <a:lstStyle/>
        <a:p>
          <a:r>
            <a:rPr lang="en-US" sz="1000" b="0">
              <a:latin typeface="Calibri" panose="020F0502020204030204" pitchFamily="34" charset="0"/>
            </a:rPr>
            <a:t>12%</a:t>
          </a:r>
        </a:p>
      </dgm:t>
    </dgm:pt>
    <dgm:pt modelId="{3DF66D0B-08D6-4EC1-9903-F5AC6DDD2533}" type="parTrans" cxnId="{B66EE1D2-A827-424A-8E19-D1977AEB87D3}">
      <dgm:prSet/>
      <dgm:spPr/>
      <dgm:t>
        <a:bodyPr/>
        <a:lstStyle/>
        <a:p>
          <a:endParaRPr lang="en-US" sz="1000" b="0">
            <a:latin typeface="Calibri" panose="020F0502020204030204" pitchFamily="34" charset="0"/>
          </a:endParaRPr>
        </a:p>
      </dgm:t>
    </dgm:pt>
    <dgm:pt modelId="{3C860558-0666-4E36-A860-A7927AE6691A}" type="sibTrans" cxnId="{B66EE1D2-A827-424A-8E19-D1977AEB87D3}">
      <dgm:prSet/>
      <dgm:spPr/>
      <dgm:t>
        <a:bodyPr/>
        <a:lstStyle/>
        <a:p>
          <a:endParaRPr lang="en-US" sz="1000" b="0">
            <a:latin typeface="Calibri" panose="020F0502020204030204" pitchFamily="34" charset="0"/>
          </a:endParaRPr>
        </a:p>
      </dgm:t>
    </dgm:pt>
    <dgm:pt modelId="{5DFBDF51-3CDF-47B4-A891-2C17B58C5EF7}">
      <dgm:prSet phldrT="[Text]" custT="1"/>
      <dgm:spPr>
        <a:solidFill>
          <a:srgbClr val="F5F55D"/>
        </a:solidFill>
      </dgm:spPr>
      <dgm:t>
        <a:bodyPr/>
        <a:lstStyle/>
        <a:p>
          <a:r>
            <a:rPr lang="en-US" sz="1000" b="0">
              <a:solidFill>
                <a:sysClr val="windowText" lastClr="000000"/>
              </a:solidFill>
              <a:latin typeface="Calibri" panose="020F0502020204030204" pitchFamily="34" charset="0"/>
            </a:rPr>
            <a:t>11%</a:t>
          </a:r>
        </a:p>
      </dgm:t>
    </dgm:pt>
    <dgm:pt modelId="{302934DF-0828-48C2-AE46-6A069F505267}" type="parTrans" cxnId="{A6E0D3DD-341E-46F4-B623-F116CD9B3EFC}">
      <dgm:prSet/>
      <dgm:spPr/>
      <dgm:t>
        <a:bodyPr/>
        <a:lstStyle/>
        <a:p>
          <a:endParaRPr lang="en-US" sz="1000" b="0">
            <a:latin typeface="Calibri" panose="020F0502020204030204" pitchFamily="34" charset="0"/>
          </a:endParaRPr>
        </a:p>
      </dgm:t>
    </dgm:pt>
    <dgm:pt modelId="{3D8EAAE3-D81B-4A30-BC09-56ECBDD499AB}" type="sibTrans" cxnId="{A6E0D3DD-341E-46F4-B623-F116CD9B3EFC}">
      <dgm:prSet/>
      <dgm:spPr/>
      <dgm:t>
        <a:bodyPr/>
        <a:lstStyle/>
        <a:p>
          <a:endParaRPr lang="en-US" sz="1000" b="0">
            <a:latin typeface="Calibri" panose="020F0502020204030204" pitchFamily="34" charset="0"/>
          </a:endParaRPr>
        </a:p>
      </dgm:t>
    </dgm:pt>
    <dgm:pt modelId="{D9C5F78C-3F3F-4C63-A883-F38398EB96EA}">
      <dgm:prSet phldrT="[Text]" custT="1"/>
      <dgm:spPr>
        <a:solidFill>
          <a:srgbClr val="00E668"/>
        </a:solidFill>
      </dgm:spPr>
      <dgm:t>
        <a:bodyPr/>
        <a:lstStyle/>
        <a:p>
          <a:r>
            <a:rPr lang="en-US" sz="1000" b="0">
              <a:latin typeface="Calibri" panose="020F0502020204030204" pitchFamily="34" charset="0"/>
            </a:rPr>
            <a:t>10%</a:t>
          </a:r>
        </a:p>
      </dgm:t>
    </dgm:pt>
    <dgm:pt modelId="{5F967F5C-2271-4F59-94CD-2F720EA1E623}" type="parTrans" cxnId="{BCF4E156-8F58-4C60-9B02-81CAF0A6523E}">
      <dgm:prSet/>
      <dgm:spPr/>
      <dgm:t>
        <a:bodyPr/>
        <a:lstStyle/>
        <a:p>
          <a:endParaRPr lang="en-US" sz="1000" b="0">
            <a:latin typeface="Calibri" panose="020F0502020204030204" pitchFamily="34" charset="0"/>
          </a:endParaRPr>
        </a:p>
      </dgm:t>
    </dgm:pt>
    <dgm:pt modelId="{B9C58100-70D2-46A1-A3B0-EF9C6C3CA8F3}" type="sibTrans" cxnId="{BCF4E156-8F58-4C60-9B02-81CAF0A6523E}">
      <dgm:prSet/>
      <dgm:spPr/>
      <dgm:t>
        <a:bodyPr/>
        <a:lstStyle/>
        <a:p>
          <a:endParaRPr lang="en-US" sz="1000" b="0">
            <a:latin typeface="Calibri" panose="020F0502020204030204" pitchFamily="34" charset="0"/>
          </a:endParaRPr>
        </a:p>
      </dgm:t>
    </dgm:pt>
    <dgm:pt modelId="{D52EC238-5BE9-4CAC-9E42-DD0376E697D4}">
      <dgm:prSet phldrT="[Text]" custT="1"/>
      <dgm:spPr>
        <a:solidFill>
          <a:srgbClr val="05A70D"/>
        </a:solidFill>
      </dgm:spPr>
      <dgm:t>
        <a:bodyPr/>
        <a:lstStyle/>
        <a:p>
          <a:r>
            <a:rPr lang="en-US" sz="1000" b="0">
              <a:latin typeface="Calibri" panose="020F0502020204030204" pitchFamily="34" charset="0"/>
            </a:rPr>
            <a:t>9%</a:t>
          </a:r>
        </a:p>
      </dgm:t>
    </dgm:pt>
    <dgm:pt modelId="{57A39D42-7B0E-4DA4-9A91-39C641B5A225}" type="parTrans" cxnId="{19D68DA0-4C2D-4CF2-8B9D-0200D498C018}">
      <dgm:prSet/>
      <dgm:spPr/>
      <dgm:t>
        <a:bodyPr/>
        <a:lstStyle/>
        <a:p>
          <a:endParaRPr lang="en-US" sz="1000" b="0">
            <a:latin typeface="Calibri" panose="020F0502020204030204" pitchFamily="34" charset="0"/>
          </a:endParaRPr>
        </a:p>
      </dgm:t>
    </dgm:pt>
    <dgm:pt modelId="{8A2071B2-2F4F-4624-8F93-F617188E920B}" type="sibTrans" cxnId="{19D68DA0-4C2D-4CF2-8B9D-0200D498C018}">
      <dgm:prSet/>
      <dgm:spPr/>
      <dgm:t>
        <a:bodyPr/>
        <a:lstStyle/>
        <a:p>
          <a:endParaRPr lang="en-US" sz="1000" b="0">
            <a:latin typeface="Calibri" panose="020F0502020204030204" pitchFamily="34" charset="0"/>
          </a:endParaRPr>
        </a:p>
      </dgm:t>
    </dgm:pt>
    <dgm:pt modelId="{AC3A3416-529C-4AC6-8629-E2533435590B}" type="pres">
      <dgm:prSet presAssocID="{862B6D03-1F04-4DD5-9D74-48E9587C5CCE}" presName="Name0" presStyleCnt="0">
        <dgm:presLayoutVars>
          <dgm:dir val="rev"/>
          <dgm:resizeHandles val="exact"/>
        </dgm:presLayoutVars>
      </dgm:prSet>
      <dgm:spPr/>
      <dgm:t>
        <a:bodyPr/>
        <a:lstStyle/>
        <a:p>
          <a:endParaRPr lang="en-US"/>
        </a:p>
      </dgm:t>
    </dgm:pt>
    <dgm:pt modelId="{D974FC0B-8FD7-4C55-AD02-7A3EAA079BAA}" type="pres">
      <dgm:prSet presAssocID="{06BADE23-350D-4357-8760-91BD79F4A9A0}" presName="parTxOnly" presStyleLbl="node1" presStyleIdx="0" presStyleCnt="5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74060D9F-A0AD-4A7C-8134-DDF408C72A38}" type="pres">
      <dgm:prSet presAssocID="{4EA9381B-6AAE-4166-8339-0D71C25F38C7}" presName="parSpace" presStyleCnt="0"/>
      <dgm:spPr/>
    </dgm:pt>
    <dgm:pt modelId="{22007059-8C0D-4576-A60C-DE32C48345BA}" type="pres">
      <dgm:prSet presAssocID="{1ADF69B6-98D6-4653-846A-611C483D21D1}" presName="parTxOnly" presStyleLbl="node1" presStyleIdx="1" presStyleCnt="5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1A567A68-A868-4043-AE19-DBA8FF7B3793}" type="pres">
      <dgm:prSet presAssocID="{3C860558-0666-4E36-A860-A7927AE6691A}" presName="parSpace" presStyleCnt="0"/>
      <dgm:spPr/>
    </dgm:pt>
    <dgm:pt modelId="{25AD66FE-3390-4A7F-AEF8-0A4A57EEC2AD}" type="pres">
      <dgm:prSet presAssocID="{5DFBDF51-3CDF-47B4-A891-2C17B58C5EF7}" presName="parTxOnly" presStyleLbl="node1" presStyleIdx="2" presStyleCnt="5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17F40798-160A-4689-8A00-2E6E81CAD97C}" type="pres">
      <dgm:prSet presAssocID="{3D8EAAE3-D81B-4A30-BC09-56ECBDD499AB}" presName="parSpace" presStyleCnt="0"/>
      <dgm:spPr/>
    </dgm:pt>
    <dgm:pt modelId="{AEA86555-0E20-4732-BCAC-BA90C3E44815}" type="pres">
      <dgm:prSet presAssocID="{D9C5F78C-3F3F-4C63-A883-F38398EB96EA}" presName="parTxOnly" presStyleLbl="node1" presStyleIdx="3" presStyleCnt="5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883F9839-05C8-4C8E-A1E3-84BED37A159F}" type="pres">
      <dgm:prSet presAssocID="{B9C58100-70D2-46A1-A3B0-EF9C6C3CA8F3}" presName="parSpace" presStyleCnt="0"/>
      <dgm:spPr/>
    </dgm:pt>
    <dgm:pt modelId="{162165AD-A683-4F5C-BAA9-79F2501E8EE3}" type="pres">
      <dgm:prSet presAssocID="{D52EC238-5BE9-4CAC-9E42-DD0376E697D4}" presName="parTxOnly" presStyleLbl="node1" presStyleIdx="4" presStyleCnt="5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98E615A1-F785-4068-810E-887E82FE23D0}" type="presOf" srcId="{5DFBDF51-3CDF-47B4-A891-2C17B58C5EF7}" destId="{25AD66FE-3390-4A7F-AEF8-0A4A57EEC2AD}" srcOrd="0" destOrd="0" presId="urn:microsoft.com/office/officeart/2005/8/layout/hChevron3"/>
    <dgm:cxn modelId="{1DB8D5EE-7DC3-4AB8-B796-1FD3ADC5696F}" type="presOf" srcId="{862B6D03-1F04-4DD5-9D74-48E9587C5CCE}" destId="{AC3A3416-529C-4AC6-8629-E2533435590B}" srcOrd="0" destOrd="0" presId="urn:microsoft.com/office/officeart/2005/8/layout/hChevron3"/>
    <dgm:cxn modelId="{BCF4E156-8F58-4C60-9B02-81CAF0A6523E}" srcId="{862B6D03-1F04-4DD5-9D74-48E9587C5CCE}" destId="{D9C5F78C-3F3F-4C63-A883-F38398EB96EA}" srcOrd="3" destOrd="0" parTransId="{5F967F5C-2271-4F59-94CD-2F720EA1E623}" sibTransId="{B9C58100-70D2-46A1-A3B0-EF9C6C3CA8F3}"/>
    <dgm:cxn modelId="{8016A5F5-AD84-446D-9352-37E5D2A1DF92}" type="presOf" srcId="{D9C5F78C-3F3F-4C63-A883-F38398EB96EA}" destId="{AEA86555-0E20-4732-BCAC-BA90C3E44815}" srcOrd="0" destOrd="0" presId="urn:microsoft.com/office/officeart/2005/8/layout/hChevron3"/>
    <dgm:cxn modelId="{A09B3941-5D2A-4862-A949-31039F81CE97}" srcId="{862B6D03-1F04-4DD5-9D74-48E9587C5CCE}" destId="{06BADE23-350D-4357-8760-91BD79F4A9A0}" srcOrd="0" destOrd="0" parTransId="{54F7EBA8-4F5B-45EC-A66C-AFF88EC56205}" sibTransId="{4EA9381B-6AAE-4166-8339-0D71C25F38C7}"/>
    <dgm:cxn modelId="{5D290B78-6547-4C6C-BEED-0888F7202D36}" type="presOf" srcId="{D52EC238-5BE9-4CAC-9E42-DD0376E697D4}" destId="{162165AD-A683-4F5C-BAA9-79F2501E8EE3}" srcOrd="0" destOrd="0" presId="urn:microsoft.com/office/officeart/2005/8/layout/hChevron3"/>
    <dgm:cxn modelId="{B66EE1D2-A827-424A-8E19-D1977AEB87D3}" srcId="{862B6D03-1F04-4DD5-9D74-48E9587C5CCE}" destId="{1ADF69B6-98D6-4653-846A-611C483D21D1}" srcOrd="1" destOrd="0" parTransId="{3DF66D0B-08D6-4EC1-9903-F5AC6DDD2533}" sibTransId="{3C860558-0666-4E36-A860-A7927AE6691A}"/>
    <dgm:cxn modelId="{567190C8-70DC-40A2-BBD0-C83EC216E7CB}" type="presOf" srcId="{1ADF69B6-98D6-4653-846A-611C483D21D1}" destId="{22007059-8C0D-4576-A60C-DE32C48345BA}" srcOrd="0" destOrd="0" presId="urn:microsoft.com/office/officeart/2005/8/layout/hChevron3"/>
    <dgm:cxn modelId="{A6E0D3DD-341E-46F4-B623-F116CD9B3EFC}" srcId="{862B6D03-1F04-4DD5-9D74-48E9587C5CCE}" destId="{5DFBDF51-3CDF-47B4-A891-2C17B58C5EF7}" srcOrd="2" destOrd="0" parTransId="{302934DF-0828-48C2-AE46-6A069F505267}" sibTransId="{3D8EAAE3-D81B-4A30-BC09-56ECBDD499AB}"/>
    <dgm:cxn modelId="{23A12251-175F-4917-A472-4F5AE167B79D}" type="presOf" srcId="{06BADE23-350D-4357-8760-91BD79F4A9A0}" destId="{D974FC0B-8FD7-4C55-AD02-7A3EAA079BAA}" srcOrd="0" destOrd="0" presId="urn:microsoft.com/office/officeart/2005/8/layout/hChevron3"/>
    <dgm:cxn modelId="{19D68DA0-4C2D-4CF2-8B9D-0200D498C018}" srcId="{862B6D03-1F04-4DD5-9D74-48E9587C5CCE}" destId="{D52EC238-5BE9-4CAC-9E42-DD0376E697D4}" srcOrd="4" destOrd="0" parTransId="{57A39D42-7B0E-4DA4-9A91-39C641B5A225}" sibTransId="{8A2071B2-2F4F-4624-8F93-F617188E920B}"/>
    <dgm:cxn modelId="{8116746F-63D3-413B-86D2-DD0CEABC4A3A}" type="presParOf" srcId="{AC3A3416-529C-4AC6-8629-E2533435590B}" destId="{D974FC0B-8FD7-4C55-AD02-7A3EAA079BAA}" srcOrd="0" destOrd="0" presId="urn:microsoft.com/office/officeart/2005/8/layout/hChevron3"/>
    <dgm:cxn modelId="{1C2C7848-FEAA-4EA7-8569-B7F6BC5D76B9}" type="presParOf" srcId="{AC3A3416-529C-4AC6-8629-E2533435590B}" destId="{74060D9F-A0AD-4A7C-8134-DDF408C72A38}" srcOrd="1" destOrd="0" presId="urn:microsoft.com/office/officeart/2005/8/layout/hChevron3"/>
    <dgm:cxn modelId="{E90B8DE0-6854-4FFF-AAB8-4B2024C0C191}" type="presParOf" srcId="{AC3A3416-529C-4AC6-8629-E2533435590B}" destId="{22007059-8C0D-4576-A60C-DE32C48345BA}" srcOrd="2" destOrd="0" presId="urn:microsoft.com/office/officeart/2005/8/layout/hChevron3"/>
    <dgm:cxn modelId="{964D735F-9F6C-447F-AA47-C59F4532DF00}" type="presParOf" srcId="{AC3A3416-529C-4AC6-8629-E2533435590B}" destId="{1A567A68-A868-4043-AE19-DBA8FF7B3793}" srcOrd="3" destOrd="0" presId="urn:microsoft.com/office/officeart/2005/8/layout/hChevron3"/>
    <dgm:cxn modelId="{82D70FCB-B38A-4C16-872E-293BDC6435BA}" type="presParOf" srcId="{AC3A3416-529C-4AC6-8629-E2533435590B}" destId="{25AD66FE-3390-4A7F-AEF8-0A4A57EEC2AD}" srcOrd="4" destOrd="0" presId="urn:microsoft.com/office/officeart/2005/8/layout/hChevron3"/>
    <dgm:cxn modelId="{E0527954-41DC-4D3D-816E-6932858DF9AA}" type="presParOf" srcId="{AC3A3416-529C-4AC6-8629-E2533435590B}" destId="{17F40798-160A-4689-8A00-2E6E81CAD97C}" srcOrd="5" destOrd="0" presId="urn:microsoft.com/office/officeart/2005/8/layout/hChevron3"/>
    <dgm:cxn modelId="{5AAD305B-69D1-49B6-A089-83EE06CE092C}" type="presParOf" srcId="{AC3A3416-529C-4AC6-8629-E2533435590B}" destId="{AEA86555-0E20-4732-BCAC-BA90C3E44815}" srcOrd="6" destOrd="0" presId="urn:microsoft.com/office/officeart/2005/8/layout/hChevron3"/>
    <dgm:cxn modelId="{6D760214-BAC6-4328-AC43-007E9B3D59F5}" type="presParOf" srcId="{AC3A3416-529C-4AC6-8629-E2533435590B}" destId="{883F9839-05C8-4C8E-A1E3-84BED37A159F}" srcOrd="7" destOrd="0" presId="urn:microsoft.com/office/officeart/2005/8/layout/hChevron3"/>
    <dgm:cxn modelId="{9C663CBC-24FD-48D1-9F7A-D510F882B62E}" type="presParOf" srcId="{AC3A3416-529C-4AC6-8629-E2533435590B}" destId="{162165AD-A683-4F5C-BAA9-79F2501E8EE3}" srcOrd="8" destOrd="0" presId="urn:microsoft.com/office/officeart/2005/8/layout/hChevron3"/>
  </dgm:cxnLst>
  <dgm:bg/>
  <dgm:whole/>
  <dgm:extLst>
    <a:ext uri="http://schemas.microsoft.com/office/drawing/2008/diagram">
      <dsp:dataModelExt xmlns:dsp="http://schemas.microsoft.com/office/drawing/2008/diagram" relId="rId11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D974FC0B-8FD7-4C55-AD02-7A3EAA079BAA}">
      <dsp:nvSpPr>
        <dsp:cNvPr id="0" name=""/>
        <dsp:cNvSpPr/>
      </dsp:nvSpPr>
      <dsp:spPr>
        <a:xfrm>
          <a:off x="370" y="0"/>
          <a:ext cx="723270" cy="280986"/>
        </a:xfrm>
        <a:prstGeom prst="homePlate">
          <a:avLst/>
        </a:prstGeom>
        <a:solidFill>
          <a:srgbClr val="FF0000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3340" tIns="26670" rIns="13335" bIns="2667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b="0" kern="1200">
              <a:latin typeface="Calibri" panose="020F0502020204030204" pitchFamily="34" charset="0"/>
            </a:rPr>
            <a:t>13%</a:t>
          </a:r>
        </a:p>
      </dsp:txBody>
      <dsp:txXfrm>
        <a:off x="370" y="0"/>
        <a:ext cx="653024" cy="280986"/>
      </dsp:txXfrm>
    </dsp:sp>
    <dsp:sp modelId="{22007059-8C0D-4576-A60C-DE32C48345BA}">
      <dsp:nvSpPr>
        <dsp:cNvPr id="0" name=""/>
        <dsp:cNvSpPr/>
      </dsp:nvSpPr>
      <dsp:spPr>
        <a:xfrm>
          <a:off x="578986" y="0"/>
          <a:ext cx="723270" cy="280986"/>
        </a:xfrm>
        <a:prstGeom prst="chevron">
          <a:avLst/>
        </a:prstGeom>
        <a:solidFill>
          <a:srgbClr val="FF7171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0005" tIns="26670" rIns="13335" bIns="2667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b="0" kern="1200">
              <a:latin typeface="Calibri" panose="020F0502020204030204" pitchFamily="34" charset="0"/>
            </a:rPr>
            <a:t>14%</a:t>
          </a:r>
        </a:p>
      </dsp:txBody>
      <dsp:txXfrm>
        <a:off x="719479" y="0"/>
        <a:ext cx="442284" cy="280986"/>
      </dsp:txXfrm>
    </dsp:sp>
    <dsp:sp modelId="{25AD66FE-3390-4A7F-AEF8-0A4A57EEC2AD}">
      <dsp:nvSpPr>
        <dsp:cNvPr id="0" name=""/>
        <dsp:cNvSpPr/>
      </dsp:nvSpPr>
      <dsp:spPr>
        <a:xfrm>
          <a:off x="1157602" y="0"/>
          <a:ext cx="723270" cy="280986"/>
        </a:xfrm>
        <a:prstGeom prst="chevron">
          <a:avLst/>
        </a:prstGeom>
        <a:solidFill>
          <a:srgbClr val="F5F55D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0005" tIns="26670" rIns="13335" bIns="2667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b="0" kern="1200">
              <a:solidFill>
                <a:sysClr val="windowText" lastClr="000000"/>
              </a:solidFill>
              <a:latin typeface="Calibri" panose="020F0502020204030204" pitchFamily="34" charset="0"/>
            </a:rPr>
            <a:t>15%</a:t>
          </a:r>
        </a:p>
      </dsp:txBody>
      <dsp:txXfrm>
        <a:off x="1298095" y="0"/>
        <a:ext cx="442284" cy="280986"/>
      </dsp:txXfrm>
    </dsp:sp>
    <dsp:sp modelId="{AEA86555-0E20-4732-BCAC-BA90C3E44815}">
      <dsp:nvSpPr>
        <dsp:cNvPr id="0" name=""/>
        <dsp:cNvSpPr/>
      </dsp:nvSpPr>
      <dsp:spPr>
        <a:xfrm>
          <a:off x="1736219" y="0"/>
          <a:ext cx="723270" cy="280986"/>
        </a:xfrm>
        <a:prstGeom prst="chevron">
          <a:avLst/>
        </a:prstGeom>
        <a:solidFill>
          <a:srgbClr val="00E668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0005" tIns="26670" rIns="13335" bIns="2667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b="0" kern="1200">
              <a:latin typeface="Calibri" panose="020F0502020204030204" pitchFamily="34" charset="0"/>
            </a:rPr>
            <a:t>16%</a:t>
          </a:r>
        </a:p>
      </dsp:txBody>
      <dsp:txXfrm>
        <a:off x="1876712" y="0"/>
        <a:ext cx="442284" cy="280986"/>
      </dsp:txXfrm>
    </dsp:sp>
    <dsp:sp modelId="{162165AD-A683-4F5C-BAA9-79F2501E8EE3}">
      <dsp:nvSpPr>
        <dsp:cNvPr id="0" name=""/>
        <dsp:cNvSpPr/>
      </dsp:nvSpPr>
      <dsp:spPr>
        <a:xfrm>
          <a:off x="2314835" y="0"/>
          <a:ext cx="723270" cy="280986"/>
        </a:xfrm>
        <a:prstGeom prst="chevron">
          <a:avLst/>
        </a:prstGeom>
        <a:solidFill>
          <a:srgbClr val="05A70D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0005" tIns="26670" rIns="13335" bIns="2667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b="0" kern="1200">
              <a:latin typeface="Calibri" panose="020F0502020204030204" pitchFamily="34" charset="0"/>
            </a:rPr>
            <a:t>17%</a:t>
          </a:r>
        </a:p>
      </dsp:txBody>
      <dsp:txXfrm>
        <a:off x="2455328" y="0"/>
        <a:ext cx="442284" cy="280986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D974FC0B-8FD7-4C55-AD02-7A3EAA079BAA}">
      <dsp:nvSpPr>
        <dsp:cNvPr id="0" name=""/>
        <dsp:cNvSpPr/>
      </dsp:nvSpPr>
      <dsp:spPr>
        <a:xfrm rot="10800000">
          <a:off x="2358373" y="0"/>
          <a:ext cx="736873" cy="280986"/>
        </a:xfrm>
        <a:prstGeom prst="homePlate">
          <a:avLst/>
        </a:prstGeom>
        <a:solidFill>
          <a:srgbClr val="FF0000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3335" tIns="26670" rIns="53340" bIns="2667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b="0" kern="1200">
              <a:latin typeface="Calibri" panose="020F0502020204030204" pitchFamily="34" charset="0"/>
            </a:rPr>
            <a:t>13%</a:t>
          </a:r>
        </a:p>
      </dsp:txBody>
      <dsp:txXfrm rot="10800000">
        <a:off x="2428619" y="0"/>
        <a:ext cx="666627" cy="280986"/>
      </dsp:txXfrm>
    </dsp:sp>
    <dsp:sp modelId="{22007059-8C0D-4576-A60C-DE32C48345BA}">
      <dsp:nvSpPr>
        <dsp:cNvPr id="0" name=""/>
        <dsp:cNvSpPr/>
      </dsp:nvSpPr>
      <dsp:spPr>
        <a:xfrm rot="10800000">
          <a:off x="1768874" y="0"/>
          <a:ext cx="736873" cy="280986"/>
        </a:xfrm>
        <a:prstGeom prst="chevron">
          <a:avLst/>
        </a:prstGeom>
        <a:solidFill>
          <a:srgbClr val="FF7171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3335" tIns="26670" rIns="40005" bIns="2667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b="0" kern="1200">
              <a:latin typeface="Calibri" panose="020F0502020204030204" pitchFamily="34" charset="0"/>
            </a:rPr>
            <a:t>12%</a:t>
          </a:r>
        </a:p>
      </dsp:txBody>
      <dsp:txXfrm rot="10800000">
        <a:off x="1909367" y="0"/>
        <a:ext cx="455887" cy="280986"/>
      </dsp:txXfrm>
    </dsp:sp>
    <dsp:sp modelId="{25AD66FE-3390-4A7F-AEF8-0A4A57EEC2AD}">
      <dsp:nvSpPr>
        <dsp:cNvPr id="0" name=""/>
        <dsp:cNvSpPr/>
      </dsp:nvSpPr>
      <dsp:spPr>
        <a:xfrm rot="10800000">
          <a:off x="1179375" y="0"/>
          <a:ext cx="736873" cy="280986"/>
        </a:xfrm>
        <a:prstGeom prst="chevron">
          <a:avLst/>
        </a:prstGeom>
        <a:solidFill>
          <a:srgbClr val="F5F55D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3335" tIns="26670" rIns="40005" bIns="2667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b="0" kern="1200">
              <a:solidFill>
                <a:sysClr val="windowText" lastClr="000000"/>
              </a:solidFill>
              <a:latin typeface="Calibri" panose="020F0502020204030204" pitchFamily="34" charset="0"/>
            </a:rPr>
            <a:t>11%</a:t>
          </a:r>
        </a:p>
      </dsp:txBody>
      <dsp:txXfrm rot="10800000">
        <a:off x="1319868" y="0"/>
        <a:ext cx="455887" cy="280986"/>
      </dsp:txXfrm>
    </dsp:sp>
    <dsp:sp modelId="{AEA86555-0E20-4732-BCAC-BA90C3E44815}">
      <dsp:nvSpPr>
        <dsp:cNvPr id="0" name=""/>
        <dsp:cNvSpPr/>
      </dsp:nvSpPr>
      <dsp:spPr>
        <a:xfrm rot="10800000">
          <a:off x="589876" y="0"/>
          <a:ext cx="736873" cy="280986"/>
        </a:xfrm>
        <a:prstGeom prst="chevron">
          <a:avLst/>
        </a:prstGeom>
        <a:solidFill>
          <a:srgbClr val="00E668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3335" tIns="26670" rIns="40005" bIns="2667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b="0" kern="1200">
              <a:latin typeface="Calibri" panose="020F0502020204030204" pitchFamily="34" charset="0"/>
            </a:rPr>
            <a:t>10%</a:t>
          </a:r>
        </a:p>
      </dsp:txBody>
      <dsp:txXfrm rot="10800000">
        <a:off x="730369" y="0"/>
        <a:ext cx="455887" cy="280986"/>
      </dsp:txXfrm>
    </dsp:sp>
    <dsp:sp modelId="{162165AD-A683-4F5C-BAA9-79F2501E8EE3}">
      <dsp:nvSpPr>
        <dsp:cNvPr id="0" name=""/>
        <dsp:cNvSpPr/>
      </dsp:nvSpPr>
      <dsp:spPr>
        <a:xfrm rot="10800000">
          <a:off x="377" y="0"/>
          <a:ext cx="736873" cy="280986"/>
        </a:xfrm>
        <a:prstGeom prst="chevron">
          <a:avLst/>
        </a:prstGeom>
        <a:solidFill>
          <a:srgbClr val="05A70D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3335" tIns="26670" rIns="40005" bIns="2667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b="0" kern="1200">
              <a:latin typeface="Calibri" panose="020F0502020204030204" pitchFamily="34" charset="0"/>
            </a:rPr>
            <a:t>9%</a:t>
          </a:r>
        </a:p>
      </dsp:txBody>
      <dsp:txXfrm rot="10800000">
        <a:off x="140870" y="0"/>
        <a:ext cx="455887" cy="280986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Chevron3">
  <dgm:title val=""/>
  <dgm:desc val=""/>
  <dgm:catLst>
    <dgm:cat type="process" pri="10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func="maxDepth" op="gte" val="2">
        <dgm:constrLst>
          <dgm:constr type="w" for="ch" forName="parAndChTx" refType="w"/>
          <dgm:constr type="primFontSz" for="ch" ptType="node" op="equ"/>
          <dgm:constr type="w" for="ch" forName="parAndChSpace" refType="w" refFor="ch" refForName="parAndChTx" fact="-0.2"/>
          <dgm:constr type="w" for="ch" ptType="sibTrans" op="equ"/>
        </dgm:constrLst>
        <dgm:ruleLst/>
        <dgm:forEach name="Name6" axis="ch" ptType="node">
          <dgm:layoutNode name="parAndChTx">
            <dgm:varLst>
              <dgm:bulletEnabled val="1"/>
            </dgm:varLst>
            <dgm:alg type="tx"/>
            <dgm:choose name="Name7">
              <dgm:if name="Name8" func="var" arg="dir" op="equ" val="norm">
                <dgm:choose name="Name9">
                  <dgm:if name="Name10" axis="self" ptType="node" func="pos" op="equ" val="1">
                    <dgm:shape xmlns:r="http://schemas.openxmlformats.org/officeDocument/2006/relationships" type="homePlate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4"/>
                    </dgm:constrLst>
                  </dgm:if>
                  <dgm:else name="Name11">
                    <dgm:shape xmlns:r="http://schemas.openxmlformats.org/officeDocument/2006/relationships" type="chevron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1"/>
                    </dgm:constrLst>
                  </dgm:else>
                </dgm:choose>
              </dgm:if>
              <dgm:else name="Name12">
                <dgm:choose name="Name13">
                  <dgm:if name="Name14" axis="self" ptType="node" func="pos" op="equ" val="1">
                    <dgm:shape xmlns:r="http://schemas.openxmlformats.org/officeDocument/2006/relationships" rot="180" type="homePlate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4"/>
                      <dgm:constr type="rMarg" refType="w" fact="0.1"/>
                    </dgm:constrLst>
                  </dgm:if>
                  <dgm:else name="Name15">
                    <dgm:shape xmlns:r="http://schemas.openxmlformats.org/officeDocument/2006/relationships" rot="180" type="chevron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1"/>
                    </dgm:constrLst>
                  </dgm:else>
                </dgm:choose>
              </dgm:else>
            </dgm:choose>
            <dgm:ruleLst>
              <dgm:rule type="primFontSz" val="5" fact="NaN" max="NaN"/>
            </dgm:ruleLst>
          </dgm:layoutNode>
          <dgm:forEach name="Name16" axis="followSib" ptType="sibTrans" cnt="1">
            <dgm:layoutNode name="parAndCh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if>
      <dgm:else name="Name17">
        <dgm:constrLst>
          <dgm:constr type="w" for="ch" forName="parTxOnly" refType="w"/>
          <dgm:constr type="primFontSz" for="ch" ptType="node" op="equ"/>
          <dgm:constr type="w" for="ch" forName="parSpace" refType="w" refFor="ch" refForName="parTxOnly" fact="-0.2"/>
          <dgm:constr type="w" for="ch" ptType="sibTrans" op="equ"/>
        </dgm:constrLst>
        <dgm:ruleLst/>
        <dgm:forEach name="Name18" axis="ch" ptType="node">
          <dgm:layoutNode name="parTxOnly">
            <dgm:varLst>
              <dgm:bulletEnabled val="1"/>
            </dgm:varLst>
            <dgm:alg type="tx"/>
            <dgm:presOf axis="desOrSelf" ptType="node"/>
            <dgm:choose name="Name19">
              <dgm:if name="Name20" func="var" arg="dir" op="equ" val="norm">
                <dgm:choose name="Name21">
                  <dgm:if name="Name22" axis="self" ptType="node" func="pos" op="equ" val="1">
                    <dgm:shape xmlns:r="http://schemas.openxmlformats.org/officeDocument/2006/relationships" type="homePlate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42"/>
                      <dgm:constr type="rMarg" refType="primFontSz" fact="0.105"/>
                    </dgm:constrLst>
                  </dgm:if>
                  <dgm:else name="Name23">
                    <dgm:shape xmlns:r="http://schemas.openxmlformats.org/officeDocument/2006/relationships" type="chevron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315"/>
                      <dgm:constr type="rMarg" refType="primFontSz" fact="0.105"/>
                    </dgm:constrLst>
                  </dgm:else>
                </dgm:choose>
              </dgm:if>
              <dgm:else name="Name24">
                <dgm:choose name="Name25">
                  <dgm:if name="Name26" axis="self" ptType="node" func="pos" op="equ" val="1">
                    <dgm:shape xmlns:r="http://schemas.openxmlformats.org/officeDocument/2006/relationships" rot="180" type="homePlate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105"/>
                      <dgm:constr type="rMarg" refType="primFontSz" fact="0.42"/>
                    </dgm:constrLst>
                  </dgm:if>
                  <dgm:else name="Name27">
                    <dgm:shape xmlns:r="http://schemas.openxmlformats.org/officeDocument/2006/relationships" rot="180" type="chevron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105"/>
                      <dgm:constr type="rMarg" refType="primFontSz" fact="0.315"/>
                    </dgm:constrLst>
                  </dgm:else>
                </dgm:choose>
              </dgm:else>
            </dgm:choose>
            <dgm:ruleLst>
              <dgm:rule type="primFontSz" val="5" fact="NaN" max="NaN"/>
            </dgm:ruleLst>
          </dgm:layoutNode>
          <dgm:forEach name="Name28" axis="followSib" ptType="sibTrans" cnt="1">
            <dgm:layoutNode name="par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else>
    </dgm:choose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hChevron3">
  <dgm:title val=""/>
  <dgm:desc val=""/>
  <dgm:catLst>
    <dgm:cat type="process" pri="10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func="maxDepth" op="gte" val="2">
        <dgm:constrLst>
          <dgm:constr type="w" for="ch" forName="parAndChTx" refType="w"/>
          <dgm:constr type="primFontSz" for="ch" ptType="node" op="equ"/>
          <dgm:constr type="w" for="ch" forName="parAndChSpace" refType="w" refFor="ch" refForName="parAndChTx" fact="-0.2"/>
          <dgm:constr type="w" for="ch" ptType="sibTrans" op="equ"/>
        </dgm:constrLst>
        <dgm:ruleLst/>
        <dgm:forEach name="Name6" axis="ch" ptType="node">
          <dgm:layoutNode name="parAndChTx">
            <dgm:varLst>
              <dgm:bulletEnabled val="1"/>
            </dgm:varLst>
            <dgm:alg type="tx"/>
            <dgm:choose name="Name7">
              <dgm:if name="Name8" func="var" arg="dir" op="equ" val="norm">
                <dgm:choose name="Name9">
                  <dgm:if name="Name10" axis="self" ptType="node" func="pos" op="equ" val="1">
                    <dgm:shape xmlns:r="http://schemas.openxmlformats.org/officeDocument/2006/relationships" type="homePlate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4"/>
                    </dgm:constrLst>
                  </dgm:if>
                  <dgm:else name="Name11">
                    <dgm:shape xmlns:r="http://schemas.openxmlformats.org/officeDocument/2006/relationships" type="chevron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1"/>
                    </dgm:constrLst>
                  </dgm:else>
                </dgm:choose>
              </dgm:if>
              <dgm:else name="Name12">
                <dgm:choose name="Name13">
                  <dgm:if name="Name14" axis="self" ptType="node" func="pos" op="equ" val="1">
                    <dgm:shape xmlns:r="http://schemas.openxmlformats.org/officeDocument/2006/relationships" rot="180" type="homePlate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4"/>
                      <dgm:constr type="rMarg" refType="w" fact="0.1"/>
                    </dgm:constrLst>
                  </dgm:if>
                  <dgm:else name="Name15">
                    <dgm:shape xmlns:r="http://schemas.openxmlformats.org/officeDocument/2006/relationships" rot="180" type="chevron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1"/>
                    </dgm:constrLst>
                  </dgm:else>
                </dgm:choose>
              </dgm:else>
            </dgm:choose>
            <dgm:ruleLst>
              <dgm:rule type="primFontSz" val="5" fact="NaN" max="NaN"/>
            </dgm:ruleLst>
          </dgm:layoutNode>
          <dgm:forEach name="Name16" axis="followSib" ptType="sibTrans" cnt="1">
            <dgm:layoutNode name="parAndCh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if>
      <dgm:else name="Name17">
        <dgm:constrLst>
          <dgm:constr type="w" for="ch" forName="parTxOnly" refType="w"/>
          <dgm:constr type="primFontSz" for="ch" ptType="node" op="equ"/>
          <dgm:constr type="w" for="ch" forName="parSpace" refType="w" refFor="ch" refForName="parTxOnly" fact="-0.2"/>
          <dgm:constr type="w" for="ch" ptType="sibTrans" op="equ"/>
        </dgm:constrLst>
        <dgm:ruleLst/>
        <dgm:forEach name="Name18" axis="ch" ptType="node">
          <dgm:layoutNode name="parTxOnly">
            <dgm:varLst>
              <dgm:bulletEnabled val="1"/>
            </dgm:varLst>
            <dgm:alg type="tx"/>
            <dgm:presOf axis="desOrSelf" ptType="node"/>
            <dgm:choose name="Name19">
              <dgm:if name="Name20" func="var" arg="dir" op="equ" val="norm">
                <dgm:choose name="Name21">
                  <dgm:if name="Name22" axis="self" ptType="node" func="pos" op="equ" val="1">
                    <dgm:shape xmlns:r="http://schemas.openxmlformats.org/officeDocument/2006/relationships" type="homePlate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42"/>
                      <dgm:constr type="rMarg" refType="primFontSz" fact="0.105"/>
                    </dgm:constrLst>
                  </dgm:if>
                  <dgm:else name="Name23">
                    <dgm:shape xmlns:r="http://schemas.openxmlformats.org/officeDocument/2006/relationships" type="chevron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315"/>
                      <dgm:constr type="rMarg" refType="primFontSz" fact="0.105"/>
                    </dgm:constrLst>
                  </dgm:else>
                </dgm:choose>
              </dgm:if>
              <dgm:else name="Name24">
                <dgm:choose name="Name25">
                  <dgm:if name="Name26" axis="self" ptType="node" func="pos" op="equ" val="1">
                    <dgm:shape xmlns:r="http://schemas.openxmlformats.org/officeDocument/2006/relationships" rot="180" type="homePlate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105"/>
                      <dgm:constr type="rMarg" refType="primFontSz" fact="0.42"/>
                    </dgm:constrLst>
                  </dgm:if>
                  <dgm:else name="Name27">
                    <dgm:shape xmlns:r="http://schemas.openxmlformats.org/officeDocument/2006/relationships" rot="180" type="chevron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105"/>
                      <dgm:constr type="rMarg" refType="primFontSz" fact="0.315"/>
                    </dgm:constrLst>
                  </dgm:else>
                </dgm:choose>
              </dgm:else>
            </dgm:choose>
            <dgm:ruleLst>
              <dgm:rule type="primFontSz" val="5" fact="NaN" max="NaN"/>
            </dgm:ruleLst>
          </dgm:layoutNode>
          <dgm:forEach name="Name28" axis="followSib" ptType="sibTrans" cnt="1">
            <dgm:layoutNode name="par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else>
    </dgm:choos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diagramLayout" Target="../diagrams/layout2.xml"/><Relationship Id="rId3" Type="http://schemas.openxmlformats.org/officeDocument/2006/relationships/diagramLayout" Target="../diagrams/layout1.xml"/><Relationship Id="rId7" Type="http://schemas.openxmlformats.org/officeDocument/2006/relationships/diagramData" Target="../diagrams/data2.xml"/><Relationship Id="rId2" Type="http://schemas.openxmlformats.org/officeDocument/2006/relationships/diagramData" Target="../diagrams/data1.xml"/><Relationship Id="rId1" Type="http://schemas.openxmlformats.org/officeDocument/2006/relationships/chart" Target="../charts/chart1.xml"/><Relationship Id="rId6" Type="http://schemas.microsoft.com/office/2007/relationships/diagramDrawing" Target="../diagrams/drawing1.xml"/><Relationship Id="rId11" Type="http://schemas.microsoft.com/office/2007/relationships/diagramDrawing" Target="../diagrams/drawing2.xml"/><Relationship Id="rId5" Type="http://schemas.openxmlformats.org/officeDocument/2006/relationships/diagramColors" Target="../diagrams/colors1.xml"/><Relationship Id="rId10" Type="http://schemas.openxmlformats.org/officeDocument/2006/relationships/diagramColors" Target="../diagrams/colors2.xml"/><Relationship Id="rId4" Type="http://schemas.openxmlformats.org/officeDocument/2006/relationships/diagramQuickStyle" Target="../diagrams/quickStyle1.xml"/><Relationship Id="rId9" Type="http://schemas.openxmlformats.org/officeDocument/2006/relationships/diagramQuickStyle" Target="../diagrams/quickStyle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762000</xdr:colOff>
      <xdr:row>20</xdr:row>
      <xdr:rowOff>128587</xdr:rowOff>
    </xdr:from>
    <xdr:to>
      <xdr:col>19</xdr:col>
      <xdr:colOff>0</xdr:colOff>
      <xdr:row>46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161928</xdr:colOff>
      <xdr:row>23</xdr:row>
      <xdr:rowOff>133345</xdr:rowOff>
    </xdr:from>
    <xdr:to>
      <xdr:col>12</xdr:col>
      <xdr:colOff>76201</xdr:colOff>
      <xdr:row>32</xdr:row>
      <xdr:rowOff>114296</xdr:rowOff>
    </xdr:to>
    <xdr:grpSp>
      <xdr:nvGrpSpPr>
        <xdr:cNvPr id="3" name="Group 2"/>
        <xdr:cNvGrpSpPr/>
      </xdr:nvGrpSpPr>
      <xdr:grpSpPr>
        <a:xfrm rot="16200000">
          <a:off x="7806797" y="1632476"/>
          <a:ext cx="1695451" cy="602190"/>
          <a:chOff x="5620308" y="3920950"/>
          <a:chExt cx="4570883" cy="435322"/>
        </a:xfrm>
      </xdr:grpSpPr>
      <xdr:sp macro="" textlink="$O$4">
        <xdr:nvSpPr>
          <xdr:cNvPr id="4" name="Freeform 3"/>
          <xdr:cNvSpPr/>
        </xdr:nvSpPr>
        <xdr:spPr>
          <a:xfrm>
            <a:off x="5620308" y="3920950"/>
            <a:ext cx="1088305" cy="435322"/>
          </a:xfrm>
          <a:custGeom>
            <a:avLst/>
            <a:gdLst>
              <a:gd name="connsiteX0" fmla="*/ 0 w 1088305"/>
              <a:gd name="connsiteY0" fmla="*/ 0 h 435322"/>
              <a:gd name="connsiteX1" fmla="*/ 870644 w 1088305"/>
              <a:gd name="connsiteY1" fmla="*/ 0 h 435322"/>
              <a:gd name="connsiteX2" fmla="*/ 1088305 w 1088305"/>
              <a:gd name="connsiteY2" fmla="*/ 217661 h 435322"/>
              <a:gd name="connsiteX3" fmla="*/ 870644 w 1088305"/>
              <a:gd name="connsiteY3" fmla="*/ 435322 h 435322"/>
              <a:gd name="connsiteX4" fmla="*/ 0 w 1088305"/>
              <a:gd name="connsiteY4" fmla="*/ 435322 h 435322"/>
              <a:gd name="connsiteX5" fmla="*/ 0 w 1088305"/>
              <a:gd name="connsiteY5" fmla="*/ 0 h 43532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1088305" h="435322">
                <a:moveTo>
                  <a:pt x="0" y="0"/>
                </a:moveTo>
                <a:lnTo>
                  <a:pt x="870644" y="0"/>
                </a:lnTo>
                <a:lnTo>
                  <a:pt x="1088305" y="217661"/>
                </a:lnTo>
                <a:lnTo>
                  <a:pt x="870644" y="435322"/>
                </a:lnTo>
                <a:lnTo>
                  <a:pt x="0" y="435322"/>
                </a:lnTo>
                <a:lnTo>
                  <a:pt x="0" y="0"/>
                </a:lnTo>
                <a:close/>
              </a:path>
            </a:pathLst>
          </a:custGeom>
          <a:solidFill>
            <a:srgbClr val="FF0000"/>
          </a:solidFill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vert" wrap="square" lIns="117348" tIns="58674" rIns="138167" bIns="58674" numCol="1" spcCol="1270" anchor="ctr" anchorCtr="0">
            <a:noAutofit/>
          </a:bodyPr>
          <a:lstStyle/>
          <a:p>
            <a:pPr lvl="0" algn="ctr" defTabSz="9779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fld id="{902131D9-EE78-418C-BC8B-FC83CF858D06}" type="TxLink">
              <a:rPr lang="en-US" sz="1000" b="0" i="0" u="none" strike="noStrike" kern="1200">
                <a:solidFill>
                  <a:schemeClr val="bg1"/>
                </a:solidFill>
                <a:latin typeface="Calibri"/>
              </a:rPr>
              <a:pPr lvl="0" algn="ctr" defTabSz="9779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t>3.0%</a:t>
            </a:fld>
            <a:endParaRPr lang="en-US" sz="1000" b="0" kern="1200">
              <a:solidFill>
                <a:schemeClr val="bg1"/>
              </a:solidFill>
            </a:endParaRPr>
          </a:p>
        </xdr:txBody>
      </xdr:sp>
      <xdr:sp macro="" textlink="$O$5">
        <xdr:nvSpPr>
          <xdr:cNvPr id="5" name="Freeform 4"/>
          <xdr:cNvSpPr/>
        </xdr:nvSpPr>
        <xdr:spPr>
          <a:xfrm>
            <a:off x="6490952" y="3920950"/>
            <a:ext cx="1088305" cy="435322"/>
          </a:xfrm>
          <a:custGeom>
            <a:avLst/>
            <a:gdLst>
              <a:gd name="connsiteX0" fmla="*/ 0 w 1088305"/>
              <a:gd name="connsiteY0" fmla="*/ 0 h 435322"/>
              <a:gd name="connsiteX1" fmla="*/ 870644 w 1088305"/>
              <a:gd name="connsiteY1" fmla="*/ 0 h 435322"/>
              <a:gd name="connsiteX2" fmla="*/ 1088305 w 1088305"/>
              <a:gd name="connsiteY2" fmla="*/ 217661 h 435322"/>
              <a:gd name="connsiteX3" fmla="*/ 870644 w 1088305"/>
              <a:gd name="connsiteY3" fmla="*/ 435322 h 435322"/>
              <a:gd name="connsiteX4" fmla="*/ 0 w 1088305"/>
              <a:gd name="connsiteY4" fmla="*/ 435322 h 435322"/>
              <a:gd name="connsiteX5" fmla="*/ 217661 w 1088305"/>
              <a:gd name="connsiteY5" fmla="*/ 217661 h 435322"/>
              <a:gd name="connsiteX6" fmla="*/ 0 w 1088305"/>
              <a:gd name="connsiteY6" fmla="*/ 0 h 43532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1088305" h="435322">
                <a:moveTo>
                  <a:pt x="0" y="0"/>
                </a:moveTo>
                <a:lnTo>
                  <a:pt x="870644" y="0"/>
                </a:lnTo>
                <a:lnTo>
                  <a:pt x="1088305" y="217661"/>
                </a:lnTo>
                <a:lnTo>
                  <a:pt x="870644" y="435322"/>
                </a:lnTo>
                <a:lnTo>
                  <a:pt x="0" y="435322"/>
                </a:lnTo>
                <a:lnTo>
                  <a:pt x="217661" y="217661"/>
                </a:lnTo>
                <a:lnTo>
                  <a:pt x="0" y="0"/>
                </a:lnTo>
                <a:close/>
              </a:path>
            </a:pathLst>
          </a:custGeom>
          <a:solidFill>
            <a:srgbClr val="FF7171"/>
          </a:solidFill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vert" wrap="square" lIns="305672" tIns="58674" rIns="246998" bIns="58674" numCol="1" spcCol="1270" anchor="ctr" anchorCtr="0">
            <a:noAutofit/>
          </a:bodyPr>
          <a:lstStyle/>
          <a:p>
            <a:pPr lvl="0" algn="ctr" defTabSz="9779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fld id="{1E1DD42F-70A5-4254-8B6D-67C1140CFC48}" type="TxLink">
              <a:rPr lang="en-US" sz="1000" b="0" i="0" u="none" strike="noStrike" kern="1200">
                <a:solidFill>
                  <a:schemeClr val="bg1"/>
                </a:solidFill>
                <a:latin typeface="Calibri"/>
              </a:rPr>
              <a:pPr lvl="0" algn="ctr" defTabSz="9779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t>3.5%</a:t>
            </a:fld>
            <a:endParaRPr lang="en-US" sz="1000" b="0" kern="1200">
              <a:solidFill>
                <a:schemeClr val="bg1"/>
              </a:solidFill>
            </a:endParaRPr>
          </a:p>
        </xdr:txBody>
      </xdr:sp>
      <xdr:sp macro="" textlink="$O$6">
        <xdr:nvSpPr>
          <xdr:cNvPr id="6" name="Freeform 5"/>
          <xdr:cNvSpPr/>
        </xdr:nvSpPr>
        <xdr:spPr>
          <a:xfrm>
            <a:off x="7361597" y="3920950"/>
            <a:ext cx="1088305" cy="435322"/>
          </a:xfrm>
          <a:custGeom>
            <a:avLst/>
            <a:gdLst>
              <a:gd name="connsiteX0" fmla="*/ 0 w 1088305"/>
              <a:gd name="connsiteY0" fmla="*/ 0 h 435322"/>
              <a:gd name="connsiteX1" fmla="*/ 870644 w 1088305"/>
              <a:gd name="connsiteY1" fmla="*/ 0 h 435322"/>
              <a:gd name="connsiteX2" fmla="*/ 1088305 w 1088305"/>
              <a:gd name="connsiteY2" fmla="*/ 217661 h 435322"/>
              <a:gd name="connsiteX3" fmla="*/ 870644 w 1088305"/>
              <a:gd name="connsiteY3" fmla="*/ 435322 h 435322"/>
              <a:gd name="connsiteX4" fmla="*/ 0 w 1088305"/>
              <a:gd name="connsiteY4" fmla="*/ 435322 h 435322"/>
              <a:gd name="connsiteX5" fmla="*/ 217661 w 1088305"/>
              <a:gd name="connsiteY5" fmla="*/ 217661 h 435322"/>
              <a:gd name="connsiteX6" fmla="*/ 0 w 1088305"/>
              <a:gd name="connsiteY6" fmla="*/ 0 h 43532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1088305" h="435322">
                <a:moveTo>
                  <a:pt x="0" y="0"/>
                </a:moveTo>
                <a:lnTo>
                  <a:pt x="870644" y="0"/>
                </a:lnTo>
                <a:lnTo>
                  <a:pt x="1088305" y="217661"/>
                </a:lnTo>
                <a:lnTo>
                  <a:pt x="870644" y="435322"/>
                </a:lnTo>
                <a:lnTo>
                  <a:pt x="0" y="435322"/>
                </a:lnTo>
                <a:lnTo>
                  <a:pt x="217661" y="217661"/>
                </a:lnTo>
                <a:lnTo>
                  <a:pt x="0" y="0"/>
                </a:lnTo>
                <a:close/>
              </a:path>
            </a:pathLst>
          </a:custGeom>
          <a:solidFill>
            <a:srgbClr val="F5F55D"/>
          </a:solidFill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vert" wrap="square" lIns="305672" tIns="58674" rIns="246998" bIns="58674" numCol="1" spcCol="1270" anchor="ctr" anchorCtr="0">
            <a:noAutofit/>
          </a:bodyPr>
          <a:lstStyle/>
          <a:p>
            <a:pPr lvl="0" algn="ctr" defTabSz="9779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fld id="{CEC0DB1E-1D83-4BB0-8332-AFA38D1DA928}" type="TxLink">
              <a:rPr lang="en-US" sz="1000" b="0" i="0" u="none" strike="noStrike" kern="1200">
                <a:solidFill>
                  <a:srgbClr val="000000"/>
                </a:solidFill>
                <a:latin typeface="Calibri"/>
              </a:rPr>
              <a:pPr lvl="0" algn="ctr" defTabSz="9779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t>4.0%</a:t>
            </a:fld>
            <a:endParaRPr lang="en-US" sz="1000" b="0" kern="1200">
              <a:solidFill>
                <a:sysClr val="windowText" lastClr="000000"/>
              </a:solidFill>
            </a:endParaRPr>
          </a:p>
        </xdr:txBody>
      </xdr:sp>
      <xdr:sp macro="" textlink="$O$7">
        <xdr:nvSpPr>
          <xdr:cNvPr id="7" name="Freeform 6"/>
          <xdr:cNvSpPr/>
        </xdr:nvSpPr>
        <xdr:spPr>
          <a:xfrm>
            <a:off x="8232241" y="3920950"/>
            <a:ext cx="1088305" cy="435322"/>
          </a:xfrm>
          <a:custGeom>
            <a:avLst/>
            <a:gdLst>
              <a:gd name="connsiteX0" fmla="*/ 0 w 1088305"/>
              <a:gd name="connsiteY0" fmla="*/ 0 h 435322"/>
              <a:gd name="connsiteX1" fmla="*/ 870644 w 1088305"/>
              <a:gd name="connsiteY1" fmla="*/ 0 h 435322"/>
              <a:gd name="connsiteX2" fmla="*/ 1088305 w 1088305"/>
              <a:gd name="connsiteY2" fmla="*/ 217661 h 435322"/>
              <a:gd name="connsiteX3" fmla="*/ 870644 w 1088305"/>
              <a:gd name="connsiteY3" fmla="*/ 435322 h 435322"/>
              <a:gd name="connsiteX4" fmla="*/ 0 w 1088305"/>
              <a:gd name="connsiteY4" fmla="*/ 435322 h 435322"/>
              <a:gd name="connsiteX5" fmla="*/ 217661 w 1088305"/>
              <a:gd name="connsiteY5" fmla="*/ 217661 h 435322"/>
              <a:gd name="connsiteX6" fmla="*/ 0 w 1088305"/>
              <a:gd name="connsiteY6" fmla="*/ 0 h 43532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1088305" h="435322">
                <a:moveTo>
                  <a:pt x="0" y="0"/>
                </a:moveTo>
                <a:lnTo>
                  <a:pt x="870644" y="0"/>
                </a:lnTo>
                <a:lnTo>
                  <a:pt x="1088305" y="217661"/>
                </a:lnTo>
                <a:lnTo>
                  <a:pt x="870644" y="435322"/>
                </a:lnTo>
                <a:lnTo>
                  <a:pt x="0" y="435322"/>
                </a:lnTo>
                <a:lnTo>
                  <a:pt x="217661" y="217661"/>
                </a:lnTo>
                <a:lnTo>
                  <a:pt x="0" y="0"/>
                </a:lnTo>
                <a:close/>
              </a:path>
            </a:pathLst>
          </a:custGeom>
          <a:solidFill>
            <a:srgbClr val="00E668"/>
          </a:solidFill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vert" wrap="square" lIns="305672" tIns="58674" rIns="246998" bIns="58674" numCol="1" spcCol="1270" anchor="ctr" anchorCtr="0">
            <a:noAutofit/>
          </a:bodyPr>
          <a:lstStyle/>
          <a:p>
            <a:pPr lvl="0" algn="ctr" defTabSz="9779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fld id="{7CC86284-0B3D-488D-9ECB-16B9B23B3616}" type="TxLink">
              <a:rPr lang="en-US" sz="1000" b="0" i="0" u="none" strike="noStrike" kern="1200">
                <a:solidFill>
                  <a:schemeClr val="bg1"/>
                </a:solidFill>
                <a:latin typeface="Calibri"/>
              </a:rPr>
              <a:pPr lvl="0" algn="ctr" defTabSz="9779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t>4.5%</a:t>
            </a:fld>
            <a:endParaRPr lang="en-US" sz="1000" b="0" kern="1200">
              <a:solidFill>
                <a:schemeClr val="bg1"/>
              </a:solidFill>
            </a:endParaRPr>
          </a:p>
        </xdr:txBody>
      </xdr:sp>
      <xdr:sp macro="" textlink="$O$8">
        <xdr:nvSpPr>
          <xdr:cNvPr id="8" name="Freeform 7"/>
          <xdr:cNvSpPr/>
        </xdr:nvSpPr>
        <xdr:spPr>
          <a:xfrm>
            <a:off x="9102886" y="3920950"/>
            <a:ext cx="1088305" cy="435322"/>
          </a:xfrm>
          <a:custGeom>
            <a:avLst/>
            <a:gdLst>
              <a:gd name="connsiteX0" fmla="*/ 0 w 1088305"/>
              <a:gd name="connsiteY0" fmla="*/ 0 h 435322"/>
              <a:gd name="connsiteX1" fmla="*/ 870644 w 1088305"/>
              <a:gd name="connsiteY1" fmla="*/ 0 h 435322"/>
              <a:gd name="connsiteX2" fmla="*/ 1088305 w 1088305"/>
              <a:gd name="connsiteY2" fmla="*/ 217661 h 435322"/>
              <a:gd name="connsiteX3" fmla="*/ 870644 w 1088305"/>
              <a:gd name="connsiteY3" fmla="*/ 435322 h 435322"/>
              <a:gd name="connsiteX4" fmla="*/ 0 w 1088305"/>
              <a:gd name="connsiteY4" fmla="*/ 435322 h 435322"/>
              <a:gd name="connsiteX5" fmla="*/ 217661 w 1088305"/>
              <a:gd name="connsiteY5" fmla="*/ 217661 h 435322"/>
              <a:gd name="connsiteX6" fmla="*/ 0 w 1088305"/>
              <a:gd name="connsiteY6" fmla="*/ 0 h 43532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1088305" h="435322">
                <a:moveTo>
                  <a:pt x="0" y="0"/>
                </a:moveTo>
                <a:lnTo>
                  <a:pt x="870644" y="0"/>
                </a:lnTo>
                <a:lnTo>
                  <a:pt x="1088305" y="217661"/>
                </a:lnTo>
                <a:lnTo>
                  <a:pt x="870644" y="435322"/>
                </a:lnTo>
                <a:lnTo>
                  <a:pt x="0" y="435322"/>
                </a:lnTo>
                <a:lnTo>
                  <a:pt x="217661" y="217661"/>
                </a:lnTo>
                <a:lnTo>
                  <a:pt x="0" y="0"/>
                </a:lnTo>
                <a:close/>
              </a:path>
            </a:pathLst>
          </a:custGeom>
          <a:solidFill>
            <a:srgbClr val="05A70D"/>
          </a:solidFill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vert" wrap="square" lIns="305672" tIns="58674" rIns="246998" bIns="58674" numCol="1" spcCol="1270" anchor="ctr" anchorCtr="0">
            <a:noAutofit/>
          </a:bodyPr>
          <a:lstStyle/>
          <a:p>
            <a:pPr lvl="0" algn="ctr" defTabSz="9779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fld id="{044A0D17-4986-4F2C-AE06-2287653ECB54}" type="TxLink">
              <a:rPr lang="en-US" sz="1000" b="0" i="0" u="none" strike="noStrike" kern="1200">
                <a:solidFill>
                  <a:schemeClr val="bg1"/>
                </a:solidFill>
                <a:latin typeface="Calibri"/>
              </a:rPr>
              <a:pPr lvl="0" algn="ctr" defTabSz="9779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t>5.0%</a:t>
            </a:fld>
            <a:endParaRPr lang="en-US" sz="1000" b="0" kern="1200">
              <a:solidFill>
                <a:schemeClr val="bg1"/>
              </a:solidFill>
            </a:endParaRPr>
          </a:p>
        </xdr:txBody>
      </xdr:sp>
    </xdr:grpSp>
    <xdr:clientData/>
  </xdr:twoCellAnchor>
  <xdr:oneCellAnchor>
    <xdr:from>
      <xdr:col>10</xdr:col>
      <xdr:colOff>114300</xdr:colOff>
      <xdr:row>21</xdr:row>
      <xdr:rowOff>123825</xdr:rowOff>
    </xdr:from>
    <xdr:ext cx="1885950" cy="374141"/>
    <xdr:sp macro="" textlink="$N$6">
      <xdr:nvSpPr>
        <xdr:cNvPr id="9" name="TextBox 8"/>
        <xdr:cNvSpPr txBox="1"/>
      </xdr:nvSpPr>
      <xdr:spPr>
        <a:xfrm>
          <a:off x="7143750" y="4505325"/>
          <a:ext cx="1885950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E64069B7-0F15-491E-81C7-45D6CCDECF30}" type="TxLink">
            <a:rPr lang="en-US" sz="1800" b="1" i="0" u="none" strike="noStrike">
              <a:solidFill>
                <a:srgbClr val="000000"/>
              </a:solidFill>
              <a:latin typeface="Calibri"/>
              <a:cs typeface="Arial"/>
            </a:rPr>
            <a:pPr algn="ctr"/>
            <a:t>Perpetual growth</a:t>
          </a:fld>
          <a:endParaRPr lang="en-US" sz="2800" b="1">
            <a:latin typeface="+mn-lt"/>
          </a:endParaRPr>
        </a:p>
      </xdr:txBody>
    </xdr:sp>
    <xdr:clientData/>
  </xdr:oneCellAnchor>
  <xdr:twoCellAnchor>
    <xdr:from>
      <xdr:col>11</xdr:col>
      <xdr:colOff>161925</xdr:colOff>
      <xdr:row>33</xdr:row>
      <xdr:rowOff>180974</xdr:rowOff>
    </xdr:from>
    <xdr:to>
      <xdr:col>12</xdr:col>
      <xdr:colOff>76200</xdr:colOff>
      <xdr:row>42</xdr:row>
      <xdr:rowOff>171450</xdr:rowOff>
    </xdr:to>
    <xdr:grpSp>
      <xdr:nvGrpSpPr>
        <xdr:cNvPr id="10" name="Group 9"/>
        <xdr:cNvGrpSpPr/>
      </xdr:nvGrpSpPr>
      <xdr:grpSpPr>
        <a:xfrm rot="5400000">
          <a:off x="7802033" y="3589866"/>
          <a:ext cx="1704976" cy="602192"/>
          <a:chOff x="5620308" y="3920950"/>
          <a:chExt cx="4570883" cy="435322"/>
        </a:xfrm>
      </xdr:grpSpPr>
      <xdr:sp macro="" textlink="$G$4">
        <xdr:nvSpPr>
          <xdr:cNvPr id="11" name="Freeform 10"/>
          <xdr:cNvSpPr/>
        </xdr:nvSpPr>
        <xdr:spPr>
          <a:xfrm>
            <a:off x="5620308" y="3920950"/>
            <a:ext cx="1088305" cy="435322"/>
          </a:xfrm>
          <a:custGeom>
            <a:avLst/>
            <a:gdLst>
              <a:gd name="connsiteX0" fmla="*/ 0 w 1088305"/>
              <a:gd name="connsiteY0" fmla="*/ 0 h 435322"/>
              <a:gd name="connsiteX1" fmla="*/ 870644 w 1088305"/>
              <a:gd name="connsiteY1" fmla="*/ 0 h 435322"/>
              <a:gd name="connsiteX2" fmla="*/ 1088305 w 1088305"/>
              <a:gd name="connsiteY2" fmla="*/ 217661 h 435322"/>
              <a:gd name="connsiteX3" fmla="*/ 870644 w 1088305"/>
              <a:gd name="connsiteY3" fmla="*/ 435322 h 435322"/>
              <a:gd name="connsiteX4" fmla="*/ 0 w 1088305"/>
              <a:gd name="connsiteY4" fmla="*/ 435322 h 435322"/>
              <a:gd name="connsiteX5" fmla="*/ 0 w 1088305"/>
              <a:gd name="connsiteY5" fmla="*/ 0 h 43532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1088305" h="435322">
                <a:moveTo>
                  <a:pt x="0" y="0"/>
                </a:moveTo>
                <a:lnTo>
                  <a:pt x="870644" y="0"/>
                </a:lnTo>
                <a:lnTo>
                  <a:pt x="1088305" y="217661"/>
                </a:lnTo>
                <a:lnTo>
                  <a:pt x="870644" y="435322"/>
                </a:lnTo>
                <a:lnTo>
                  <a:pt x="0" y="435322"/>
                </a:lnTo>
                <a:lnTo>
                  <a:pt x="0" y="0"/>
                </a:lnTo>
                <a:close/>
              </a:path>
            </a:pathLst>
          </a:custGeom>
          <a:solidFill>
            <a:srgbClr val="FF0000"/>
          </a:solidFill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vert270" wrap="square" lIns="117348" tIns="58674" rIns="138167" bIns="58674" numCol="1" spcCol="1270" anchor="ctr" anchorCtr="0">
            <a:noAutofit/>
          </a:bodyPr>
          <a:lstStyle/>
          <a:p>
            <a:pPr lvl="0" algn="ctr" defTabSz="9779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fld id="{EDEACF4A-C557-4A56-AAEA-BDDFEF336AE3}" type="TxLink">
              <a:rPr lang="en-US" sz="1000" b="0" i="0" u="none" strike="noStrike" kern="1200">
                <a:solidFill>
                  <a:schemeClr val="bg1"/>
                </a:solidFill>
                <a:latin typeface="Calibri" panose="020F0502020204030204" pitchFamily="34" charset="0"/>
              </a:rPr>
              <a:pPr lvl="0" algn="ctr" defTabSz="9779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t>52.0%</a:t>
            </a:fld>
            <a:endParaRPr lang="en-US" sz="1000" b="0" kern="1200">
              <a:solidFill>
                <a:schemeClr val="bg1"/>
              </a:solidFill>
              <a:latin typeface="Calibri" panose="020F0502020204030204" pitchFamily="34" charset="0"/>
            </a:endParaRPr>
          </a:p>
        </xdr:txBody>
      </xdr:sp>
      <xdr:sp macro="" textlink="$G$5">
        <xdr:nvSpPr>
          <xdr:cNvPr id="12" name="Freeform 11"/>
          <xdr:cNvSpPr/>
        </xdr:nvSpPr>
        <xdr:spPr>
          <a:xfrm>
            <a:off x="6490952" y="3920950"/>
            <a:ext cx="1088305" cy="435322"/>
          </a:xfrm>
          <a:custGeom>
            <a:avLst/>
            <a:gdLst>
              <a:gd name="connsiteX0" fmla="*/ 0 w 1088305"/>
              <a:gd name="connsiteY0" fmla="*/ 0 h 435322"/>
              <a:gd name="connsiteX1" fmla="*/ 870644 w 1088305"/>
              <a:gd name="connsiteY1" fmla="*/ 0 h 435322"/>
              <a:gd name="connsiteX2" fmla="*/ 1088305 w 1088305"/>
              <a:gd name="connsiteY2" fmla="*/ 217661 h 435322"/>
              <a:gd name="connsiteX3" fmla="*/ 870644 w 1088305"/>
              <a:gd name="connsiteY3" fmla="*/ 435322 h 435322"/>
              <a:gd name="connsiteX4" fmla="*/ 0 w 1088305"/>
              <a:gd name="connsiteY4" fmla="*/ 435322 h 435322"/>
              <a:gd name="connsiteX5" fmla="*/ 217661 w 1088305"/>
              <a:gd name="connsiteY5" fmla="*/ 217661 h 435322"/>
              <a:gd name="connsiteX6" fmla="*/ 0 w 1088305"/>
              <a:gd name="connsiteY6" fmla="*/ 0 h 43532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1088305" h="435322">
                <a:moveTo>
                  <a:pt x="0" y="0"/>
                </a:moveTo>
                <a:lnTo>
                  <a:pt x="870644" y="0"/>
                </a:lnTo>
                <a:lnTo>
                  <a:pt x="1088305" y="217661"/>
                </a:lnTo>
                <a:lnTo>
                  <a:pt x="870644" y="435322"/>
                </a:lnTo>
                <a:lnTo>
                  <a:pt x="0" y="435322"/>
                </a:lnTo>
                <a:lnTo>
                  <a:pt x="217661" y="217661"/>
                </a:lnTo>
                <a:lnTo>
                  <a:pt x="0" y="0"/>
                </a:lnTo>
                <a:close/>
              </a:path>
            </a:pathLst>
          </a:custGeom>
          <a:solidFill>
            <a:srgbClr val="FF7171"/>
          </a:solidFill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vert270" wrap="square" lIns="305672" tIns="58674" rIns="246998" bIns="58674" numCol="1" spcCol="1270" anchor="ctr" anchorCtr="0">
            <a:noAutofit/>
          </a:bodyPr>
          <a:lstStyle/>
          <a:p>
            <a:pPr lvl="0" algn="ctr" defTabSz="9779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fld id="{8FA2E75C-C49D-4CE5-B4D0-CAC80AF99FA0}" type="TxLink">
              <a:rPr lang="en-US" sz="1000" b="0" i="0" u="none" strike="noStrike" kern="1200">
                <a:solidFill>
                  <a:schemeClr val="bg1"/>
                </a:solidFill>
                <a:latin typeface="Calibri" panose="020F0502020204030204" pitchFamily="34" charset="0"/>
              </a:rPr>
              <a:pPr lvl="0" algn="ctr" defTabSz="9779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t>54.0%</a:t>
            </a:fld>
            <a:endParaRPr lang="en-US" sz="1000" b="0" kern="1200">
              <a:solidFill>
                <a:schemeClr val="bg1"/>
              </a:solidFill>
              <a:latin typeface="Calibri" panose="020F0502020204030204" pitchFamily="34" charset="0"/>
            </a:endParaRPr>
          </a:p>
        </xdr:txBody>
      </xdr:sp>
      <xdr:sp macro="" textlink="$G$6">
        <xdr:nvSpPr>
          <xdr:cNvPr id="13" name="Freeform 12"/>
          <xdr:cNvSpPr/>
        </xdr:nvSpPr>
        <xdr:spPr>
          <a:xfrm>
            <a:off x="7361597" y="3920950"/>
            <a:ext cx="1088305" cy="435322"/>
          </a:xfrm>
          <a:custGeom>
            <a:avLst/>
            <a:gdLst>
              <a:gd name="connsiteX0" fmla="*/ 0 w 1088305"/>
              <a:gd name="connsiteY0" fmla="*/ 0 h 435322"/>
              <a:gd name="connsiteX1" fmla="*/ 870644 w 1088305"/>
              <a:gd name="connsiteY1" fmla="*/ 0 h 435322"/>
              <a:gd name="connsiteX2" fmla="*/ 1088305 w 1088305"/>
              <a:gd name="connsiteY2" fmla="*/ 217661 h 435322"/>
              <a:gd name="connsiteX3" fmla="*/ 870644 w 1088305"/>
              <a:gd name="connsiteY3" fmla="*/ 435322 h 435322"/>
              <a:gd name="connsiteX4" fmla="*/ 0 w 1088305"/>
              <a:gd name="connsiteY4" fmla="*/ 435322 h 435322"/>
              <a:gd name="connsiteX5" fmla="*/ 217661 w 1088305"/>
              <a:gd name="connsiteY5" fmla="*/ 217661 h 435322"/>
              <a:gd name="connsiteX6" fmla="*/ 0 w 1088305"/>
              <a:gd name="connsiteY6" fmla="*/ 0 h 43532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1088305" h="435322">
                <a:moveTo>
                  <a:pt x="0" y="0"/>
                </a:moveTo>
                <a:lnTo>
                  <a:pt x="870644" y="0"/>
                </a:lnTo>
                <a:lnTo>
                  <a:pt x="1088305" y="217661"/>
                </a:lnTo>
                <a:lnTo>
                  <a:pt x="870644" y="435322"/>
                </a:lnTo>
                <a:lnTo>
                  <a:pt x="0" y="435322"/>
                </a:lnTo>
                <a:lnTo>
                  <a:pt x="217661" y="217661"/>
                </a:lnTo>
                <a:lnTo>
                  <a:pt x="0" y="0"/>
                </a:lnTo>
                <a:close/>
              </a:path>
            </a:pathLst>
          </a:custGeom>
          <a:solidFill>
            <a:srgbClr val="F5F55D"/>
          </a:solidFill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vert270" wrap="square" lIns="305672" tIns="58674" rIns="246998" bIns="58674" numCol="1" spcCol="1270" anchor="ctr" anchorCtr="0">
            <a:noAutofit/>
          </a:bodyPr>
          <a:lstStyle/>
          <a:p>
            <a:pPr lvl="0" algn="ctr" defTabSz="9779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fld id="{EB21A0D3-53F0-446C-82F1-8354E4441AAE}" type="TxLink">
              <a:rPr lang="en-US" sz="1000" b="0" i="0" u="none" strike="noStrike" kern="1200">
                <a:solidFill>
                  <a:srgbClr val="000000"/>
                </a:solidFill>
                <a:latin typeface="Calibri" panose="020F0502020204030204" pitchFamily="34" charset="0"/>
              </a:rPr>
              <a:pPr lvl="0" algn="ctr" defTabSz="9779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t>55.9%</a:t>
            </a:fld>
            <a:endParaRPr lang="en-US" sz="1000" b="0" kern="1200">
              <a:solidFill>
                <a:sysClr val="windowText" lastClr="000000"/>
              </a:solidFill>
              <a:latin typeface="Calibri" panose="020F0502020204030204" pitchFamily="34" charset="0"/>
            </a:endParaRPr>
          </a:p>
        </xdr:txBody>
      </xdr:sp>
      <xdr:sp macro="" textlink="$G$7">
        <xdr:nvSpPr>
          <xdr:cNvPr id="14" name="Freeform 13"/>
          <xdr:cNvSpPr/>
        </xdr:nvSpPr>
        <xdr:spPr>
          <a:xfrm>
            <a:off x="8232241" y="3920950"/>
            <a:ext cx="1088305" cy="435322"/>
          </a:xfrm>
          <a:custGeom>
            <a:avLst/>
            <a:gdLst>
              <a:gd name="connsiteX0" fmla="*/ 0 w 1088305"/>
              <a:gd name="connsiteY0" fmla="*/ 0 h 435322"/>
              <a:gd name="connsiteX1" fmla="*/ 870644 w 1088305"/>
              <a:gd name="connsiteY1" fmla="*/ 0 h 435322"/>
              <a:gd name="connsiteX2" fmla="*/ 1088305 w 1088305"/>
              <a:gd name="connsiteY2" fmla="*/ 217661 h 435322"/>
              <a:gd name="connsiteX3" fmla="*/ 870644 w 1088305"/>
              <a:gd name="connsiteY3" fmla="*/ 435322 h 435322"/>
              <a:gd name="connsiteX4" fmla="*/ 0 w 1088305"/>
              <a:gd name="connsiteY4" fmla="*/ 435322 h 435322"/>
              <a:gd name="connsiteX5" fmla="*/ 217661 w 1088305"/>
              <a:gd name="connsiteY5" fmla="*/ 217661 h 435322"/>
              <a:gd name="connsiteX6" fmla="*/ 0 w 1088305"/>
              <a:gd name="connsiteY6" fmla="*/ 0 h 43532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1088305" h="435322">
                <a:moveTo>
                  <a:pt x="0" y="0"/>
                </a:moveTo>
                <a:lnTo>
                  <a:pt x="870644" y="0"/>
                </a:lnTo>
                <a:lnTo>
                  <a:pt x="1088305" y="217661"/>
                </a:lnTo>
                <a:lnTo>
                  <a:pt x="870644" y="435322"/>
                </a:lnTo>
                <a:lnTo>
                  <a:pt x="0" y="435322"/>
                </a:lnTo>
                <a:lnTo>
                  <a:pt x="217661" y="217661"/>
                </a:lnTo>
                <a:lnTo>
                  <a:pt x="0" y="0"/>
                </a:lnTo>
                <a:close/>
              </a:path>
            </a:pathLst>
          </a:custGeom>
          <a:solidFill>
            <a:srgbClr val="00E668"/>
          </a:solidFill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vert270" wrap="square" lIns="305672" tIns="58674" rIns="246998" bIns="58674" numCol="1" spcCol="1270" anchor="ctr" anchorCtr="0">
            <a:noAutofit/>
          </a:bodyPr>
          <a:lstStyle/>
          <a:p>
            <a:pPr lvl="0" algn="ctr" defTabSz="9779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fld id="{8C363F5F-49AD-4988-956C-0CA5787A4992}" type="TxLink">
              <a:rPr lang="en-US" sz="1000" b="0" i="0" u="none" strike="noStrike" kern="1200">
                <a:solidFill>
                  <a:schemeClr val="bg1"/>
                </a:solidFill>
                <a:latin typeface="Calibri" panose="020F0502020204030204" pitchFamily="34" charset="0"/>
              </a:rPr>
              <a:pPr lvl="0" algn="ctr" defTabSz="9779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t>58.0%</a:t>
            </a:fld>
            <a:endParaRPr lang="en-US" sz="1000" b="0" kern="1200">
              <a:solidFill>
                <a:schemeClr val="bg1"/>
              </a:solidFill>
              <a:latin typeface="Calibri" panose="020F0502020204030204" pitchFamily="34" charset="0"/>
            </a:endParaRPr>
          </a:p>
        </xdr:txBody>
      </xdr:sp>
      <xdr:sp macro="" textlink="$G$8">
        <xdr:nvSpPr>
          <xdr:cNvPr id="15" name="Freeform 14"/>
          <xdr:cNvSpPr/>
        </xdr:nvSpPr>
        <xdr:spPr>
          <a:xfrm>
            <a:off x="9102886" y="3920950"/>
            <a:ext cx="1088305" cy="435322"/>
          </a:xfrm>
          <a:custGeom>
            <a:avLst/>
            <a:gdLst>
              <a:gd name="connsiteX0" fmla="*/ 0 w 1088305"/>
              <a:gd name="connsiteY0" fmla="*/ 0 h 435322"/>
              <a:gd name="connsiteX1" fmla="*/ 870644 w 1088305"/>
              <a:gd name="connsiteY1" fmla="*/ 0 h 435322"/>
              <a:gd name="connsiteX2" fmla="*/ 1088305 w 1088305"/>
              <a:gd name="connsiteY2" fmla="*/ 217661 h 435322"/>
              <a:gd name="connsiteX3" fmla="*/ 870644 w 1088305"/>
              <a:gd name="connsiteY3" fmla="*/ 435322 h 435322"/>
              <a:gd name="connsiteX4" fmla="*/ 0 w 1088305"/>
              <a:gd name="connsiteY4" fmla="*/ 435322 h 435322"/>
              <a:gd name="connsiteX5" fmla="*/ 217661 w 1088305"/>
              <a:gd name="connsiteY5" fmla="*/ 217661 h 435322"/>
              <a:gd name="connsiteX6" fmla="*/ 0 w 1088305"/>
              <a:gd name="connsiteY6" fmla="*/ 0 h 43532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1088305" h="435322">
                <a:moveTo>
                  <a:pt x="0" y="0"/>
                </a:moveTo>
                <a:lnTo>
                  <a:pt x="870644" y="0"/>
                </a:lnTo>
                <a:lnTo>
                  <a:pt x="1088305" y="217661"/>
                </a:lnTo>
                <a:lnTo>
                  <a:pt x="870644" y="435322"/>
                </a:lnTo>
                <a:lnTo>
                  <a:pt x="0" y="435322"/>
                </a:lnTo>
                <a:lnTo>
                  <a:pt x="217661" y="217661"/>
                </a:lnTo>
                <a:lnTo>
                  <a:pt x="0" y="0"/>
                </a:lnTo>
                <a:close/>
              </a:path>
            </a:pathLst>
          </a:custGeom>
          <a:solidFill>
            <a:srgbClr val="05A70D"/>
          </a:solidFill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vert270" wrap="square" lIns="305672" tIns="58674" rIns="246998" bIns="58674" numCol="1" spcCol="1270" anchor="ctr" anchorCtr="0">
            <a:noAutofit/>
          </a:bodyPr>
          <a:lstStyle/>
          <a:p>
            <a:pPr lvl="0" algn="ctr" defTabSz="9779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fld id="{BCEFDC7E-87B6-44D9-ACD1-F7517737A6DB}" type="TxLink">
              <a:rPr lang="en-US" sz="1000" b="0" i="0" u="none" strike="noStrike" kern="1200">
                <a:solidFill>
                  <a:schemeClr val="bg1"/>
                </a:solidFill>
                <a:latin typeface="Calibri" panose="020F0502020204030204" pitchFamily="34" charset="0"/>
              </a:rPr>
              <a:pPr lvl="0" algn="ctr" defTabSz="9779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t>60.0%</a:t>
            </a:fld>
            <a:endParaRPr lang="en-US" sz="1000" b="0" kern="1200">
              <a:solidFill>
                <a:schemeClr val="bg1"/>
              </a:solidFill>
              <a:latin typeface="Calibri" panose="020F0502020204030204" pitchFamily="34" charset="0"/>
            </a:endParaRPr>
          </a:p>
        </xdr:txBody>
      </xdr:sp>
    </xdr:grpSp>
    <xdr:clientData/>
  </xdr:twoCellAnchor>
  <xdr:twoCellAnchor>
    <xdr:from>
      <xdr:col>12</xdr:col>
      <xdr:colOff>66675</xdr:colOff>
      <xdr:row>32</xdr:row>
      <xdr:rowOff>104775</xdr:rowOff>
    </xdr:from>
    <xdr:to>
      <xdr:col>16</xdr:col>
      <xdr:colOff>361951</xdr:colOff>
      <xdr:row>34</xdr:row>
      <xdr:rowOff>4761</xdr:rowOff>
    </xdr:to>
    <xdr:graphicFrame macro="">
      <xdr:nvGraphicFramePr>
        <xdr:cNvPr id="16" name="Diagram 15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  <xdr:oneCellAnchor>
    <xdr:from>
      <xdr:col>16</xdr:col>
      <xdr:colOff>457200</xdr:colOff>
      <xdr:row>31</xdr:row>
      <xdr:rowOff>114300</xdr:rowOff>
    </xdr:from>
    <xdr:ext cx="1581150" cy="593239"/>
    <xdr:sp macro="" textlink="$J$11">
      <xdr:nvSpPr>
        <xdr:cNvPr id="17" name="TextBox 16"/>
        <xdr:cNvSpPr txBox="1"/>
      </xdr:nvSpPr>
      <xdr:spPr>
        <a:xfrm>
          <a:off x="11296650" y="6400800"/>
          <a:ext cx="1581150" cy="593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EB4CF771-28FF-40F4-8578-68C5DDBA614E}" type="TxLink">
            <a:rPr lang="en-US" sz="1600" b="1" i="0" u="none" strike="noStrike">
              <a:solidFill>
                <a:srgbClr val="000000"/>
              </a:solidFill>
              <a:latin typeface="Calibri"/>
              <a:cs typeface="Arial"/>
            </a:rPr>
            <a:pPr algn="ctr"/>
            <a:t>Terminal year ROIC</a:t>
          </a:fld>
          <a:endParaRPr lang="en-US" sz="2400" b="1">
            <a:latin typeface="+mn-lt"/>
          </a:endParaRPr>
        </a:p>
      </xdr:txBody>
    </xdr:sp>
    <xdr:clientData/>
  </xdr:oneCellAnchor>
  <xdr:twoCellAnchor>
    <xdr:from>
      <xdr:col>6</xdr:col>
      <xdr:colOff>514349</xdr:colOff>
      <xdr:row>32</xdr:row>
      <xdr:rowOff>95250</xdr:rowOff>
    </xdr:from>
    <xdr:to>
      <xdr:col>11</xdr:col>
      <xdr:colOff>180974</xdr:colOff>
      <xdr:row>33</xdr:row>
      <xdr:rowOff>185736</xdr:rowOff>
    </xdr:to>
    <xdr:graphicFrame macro="">
      <xdr:nvGraphicFramePr>
        <xdr:cNvPr id="18" name="Diagram 17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7" r:lo="rId8" r:qs="rId9" r:cs="rId10"/>
        </a:graphicData>
      </a:graphic>
    </xdr:graphicFrame>
    <xdr:clientData/>
  </xdr:twoCellAnchor>
  <xdr:oneCellAnchor>
    <xdr:from>
      <xdr:col>5</xdr:col>
      <xdr:colOff>666750</xdr:colOff>
      <xdr:row>32</xdr:row>
      <xdr:rowOff>85725</xdr:rowOff>
    </xdr:from>
    <xdr:ext cx="962025" cy="342786"/>
    <xdr:sp macro="" textlink="$J$2">
      <xdr:nvSpPr>
        <xdr:cNvPr id="19" name="TextBox 18"/>
        <xdr:cNvSpPr txBox="1"/>
      </xdr:nvSpPr>
      <xdr:spPr>
        <a:xfrm>
          <a:off x="4171950" y="6562725"/>
          <a:ext cx="9620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1B9FC03A-682A-4849-87F6-8EFDE41AEF1E}" type="TxLink">
            <a:rPr lang="en-US" sz="1600" b="1" i="0" u="none" strike="noStrike">
              <a:solidFill>
                <a:srgbClr val="000000"/>
              </a:solidFill>
              <a:latin typeface="Calibri"/>
              <a:cs typeface="Arial"/>
            </a:rPr>
            <a:pPr algn="ctr"/>
            <a:t>WACC</a:t>
          </a:fld>
          <a:endParaRPr lang="en-US" sz="1600" b="1">
            <a:latin typeface="+mn-lt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0.34296</cdr:x>
      <cdr:y>0.87824</cdr:y>
    </cdr:from>
    <cdr:to>
      <cdr:x>0.57852</cdr:x>
      <cdr:y>0.9486</cdr:y>
    </cdr:to>
    <cdr:sp macro="" textlink="'Sensitivity Analysis'!$F$15">
      <cdr:nvSpPr>
        <cdr:cNvPr id="2" name="TextBox 10"/>
        <cdr:cNvSpPr txBox="1"/>
      </cdr:nvSpPr>
      <cdr:spPr>
        <a:xfrm xmlns:a="http://schemas.openxmlformats.org/drawingml/2006/main">
          <a:off x="2828957" y="4278819"/>
          <a:ext cx="1943052" cy="34278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578403FC-719B-4C72-9382-FC603BBECCE4}" type="TxLink">
            <a:rPr lang="en-US" sz="1600" b="1" i="0" u="none" strike="noStrike">
              <a:solidFill>
                <a:srgbClr val="000000"/>
              </a:solidFill>
              <a:latin typeface="Calibri"/>
              <a:cs typeface="Arial"/>
            </a:rPr>
            <a:pPr algn="ctr"/>
            <a:t>EBITDA margin</a:t>
          </a:fld>
          <a:endParaRPr lang="en-US" sz="1600" b="1">
            <a:latin typeface="+mn-lt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B1:K60"/>
  <sheetViews>
    <sheetView showGridLines="0" zoomScaleNormal="100" workbookViewId="0">
      <selection activeCell="B6" sqref="B6"/>
    </sheetView>
  </sheetViews>
  <sheetFormatPr defaultRowHeight="15"/>
  <cols>
    <col min="1" max="1" width="2.75" style="11" customWidth="1"/>
    <col min="2" max="2" width="19.5" style="11" bestFit="1" customWidth="1"/>
    <col min="3" max="8" width="9" style="11"/>
    <col min="9" max="9" width="24.625" style="11" customWidth="1"/>
    <col min="10" max="10" width="17.625" style="11" customWidth="1"/>
    <col min="11" max="16384" width="9" style="11"/>
  </cols>
  <sheetData>
    <row r="1" spans="2:11">
      <c r="B1" s="9" t="s">
        <v>0</v>
      </c>
      <c r="C1" s="10"/>
      <c r="D1" s="10"/>
      <c r="E1" s="10"/>
      <c r="F1" s="10"/>
      <c r="G1" s="10"/>
      <c r="H1" s="10"/>
      <c r="I1" s="10"/>
      <c r="J1" s="10"/>
    </row>
    <row r="3" spans="2:11">
      <c r="B3" s="10" t="s">
        <v>1</v>
      </c>
      <c r="C3" s="12"/>
      <c r="D3" s="10"/>
      <c r="E3" s="10"/>
      <c r="F3" s="10"/>
      <c r="G3" s="10"/>
      <c r="H3" s="10"/>
      <c r="I3" s="10"/>
      <c r="J3" s="10"/>
    </row>
    <row r="6" spans="2:11">
      <c r="B6" s="13" t="s">
        <v>2</v>
      </c>
      <c r="C6" s="10"/>
      <c r="D6" s="10"/>
      <c r="E6" s="10"/>
      <c r="F6" s="10"/>
      <c r="G6" s="10"/>
      <c r="H6" s="10"/>
      <c r="I6" s="10"/>
      <c r="J6" s="10"/>
    </row>
    <row r="8" spans="2:11" ht="49.5" thickBot="1">
      <c r="B8" s="14"/>
      <c r="C8" s="14">
        <f>D8-1</f>
        <v>2009</v>
      </c>
      <c r="D8" s="14">
        <f>E8-1</f>
        <v>2010</v>
      </c>
      <c r="E8" s="14">
        <f>F8-1</f>
        <v>2011</v>
      </c>
      <c r="F8" s="14">
        <f>G8-1</f>
        <v>2012</v>
      </c>
      <c r="G8" s="15">
        <v>2013</v>
      </c>
      <c r="H8" s="10"/>
      <c r="I8" s="16" t="s">
        <v>3</v>
      </c>
      <c r="J8" s="16" t="s">
        <v>4</v>
      </c>
      <c r="K8" s="16" t="s">
        <v>219</v>
      </c>
    </row>
    <row r="9" spans="2:11">
      <c r="B9" s="10" t="s">
        <v>5</v>
      </c>
      <c r="C9" s="10"/>
      <c r="D9" s="10"/>
      <c r="E9" s="10"/>
      <c r="F9" s="10"/>
      <c r="G9" s="10"/>
      <c r="H9" s="10"/>
      <c r="I9" s="10"/>
      <c r="J9" s="10"/>
    </row>
    <row r="10" spans="2:11">
      <c r="B10" s="17" t="s">
        <v>6</v>
      </c>
      <c r="C10" s="12">
        <v>3000</v>
      </c>
      <c r="D10" s="12">
        <v>3000</v>
      </c>
      <c r="E10" s="12">
        <v>3000</v>
      </c>
      <c r="F10" s="12">
        <v>3000</v>
      </c>
      <c r="G10" s="12">
        <v>3000</v>
      </c>
      <c r="H10" s="10"/>
      <c r="I10" s="12">
        <v>2</v>
      </c>
      <c r="J10" s="12"/>
      <c r="K10" s="18" t="str">
        <f>IF(AND(J10=1,I10&lt;&gt;1),"EROR, NON INVESTED CAPITAL ITEM CAN'T BE WORKING CAPITAL","")</f>
        <v/>
      </c>
    </row>
    <row r="11" spans="2:11">
      <c r="B11" s="17" t="s">
        <v>7</v>
      </c>
      <c r="C11" s="12">
        <v>5345</v>
      </c>
      <c r="D11" s="12">
        <v>234</v>
      </c>
      <c r="E11" s="12">
        <v>5345</v>
      </c>
      <c r="F11" s="12">
        <v>6453</v>
      </c>
      <c r="G11" s="12">
        <v>234</v>
      </c>
      <c r="H11" s="19"/>
      <c r="I11" s="12">
        <v>1</v>
      </c>
      <c r="J11" s="12">
        <v>1</v>
      </c>
      <c r="K11" s="20" t="str">
        <f t="shared" ref="K11:K16" si="0">IF(AND(J11=1,I11&lt;&gt;1),"EROR, NON INVESTED CAPITAL ITEM CAN'T BE WORKING CAPITAL","")</f>
        <v/>
      </c>
    </row>
    <row r="12" spans="2:11">
      <c r="B12" s="17" t="s">
        <v>8</v>
      </c>
      <c r="C12" s="12">
        <v>34534</v>
      </c>
      <c r="D12" s="12">
        <v>53453</v>
      </c>
      <c r="E12" s="12">
        <v>234</v>
      </c>
      <c r="F12" s="12">
        <v>234</v>
      </c>
      <c r="G12" s="12">
        <v>6546</v>
      </c>
      <c r="H12" s="10"/>
      <c r="I12" s="12">
        <v>3</v>
      </c>
      <c r="J12" s="12"/>
      <c r="K12" s="20" t="str">
        <f t="shared" si="0"/>
        <v/>
      </c>
    </row>
    <row r="13" spans="2:11">
      <c r="B13" s="17" t="s">
        <v>9</v>
      </c>
      <c r="C13" s="12">
        <v>180000</v>
      </c>
      <c r="D13" s="12">
        <v>200000</v>
      </c>
      <c r="E13" s="12">
        <v>197000</v>
      </c>
      <c r="F13" s="12">
        <v>200000</v>
      </c>
      <c r="G13" s="12">
        <v>250000</v>
      </c>
      <c r="H13" s="10"/>
      <c r="I13" s="12">
        <v>1</v>
      </c>
      <c r="J13" s="12">
        <v>1</v>
      </c>
      <c r="K13" s="20" t="str">
        <f t="shared" si="0"/>
        <v/>
      </c>
    </row>
    <row r="14" spans="2:11">
      <c r="B14" s="17" t="s">
        <v>10</v>
      </c>
      <c r="C14" s="12">
        <v>6546</v>
      </c>
      <c r="D14" s="12">
        <v>345</v>
      </c>
      <c r="E14" s="12">
        <v>6505</v>
      </c>
      <c r="F14" s="12">
        <v>4654</v>
      </c>
      <c r="G14" s="12">
        <v>10000</v>
      </c>
      <c r="H14" s="10"/>
      <c r="I14" s="12">
        <v>1</v>
      </c>
      <c r="J14" s="12"/>
      <c r="K14" s="20" t="str">
        <f t="shared" si="0"/>
        <v/>
      </c>
    </row>
    <row r="15" spans="2:11">
      <c r="B15" s="17" t="s">
        <v>11</v>
      </c>
      <c r="C15" s="12"/>
      <c r="D15" s="12"/>
      <c r="E15" s="12"/>
      <c r="F15" s="12"/>
      <c r="G15" s="12"/>
      <c r="H15" s="10"/>
      <c r="I15" s="12"/>
      <c r="J15" s="12"/>
      <c r="K15" s="20" t="str">
        <f t="shared" si="0"/>
        <v/>
      </c>
    </row>
    <row r="16" spans="2:11">
      <c r="B16" s="17" t="s">
        <v>12</v>
      </c>
      <c r="C16" s="12"/>
      <c r="D16" s="12"/>
      <c r="E16" s="12"/>
      <c r="F16" s="12"/>
      <c r="G16" s="12"/>
      <c r="H16" s="10"/>
      <c r="I16" s="12"/>
      <c r="J16" s="12"/>
      <c r="K16" s="21" t="str">
        <f t="shared" si="0"/>
        <v/>
      </c>
    </row>
    <row r="17" spans="2:11">
      <c r="B17" s="22" t="s">
        <v>13</v>
      </c>
      <c r="C17" s="23">
        <f>SUM(C10:C16)</f>
        <v>229425</v>
      </c>
      <c r="D17" s="23">
        <f t="shared" ref="D17:G17" si="1">SUM(D10:D16)</f>
        <v>257032</v>
      </c>
      <c r="E17" s="23">
        <f t="shared" si="1"/>
        <v>212084</v>
      </c>
      <c r="F17" s="23">
        <f t="shared" si="1"/>
        <v>214341</v>
      </c>
      <c r="G17" s="23">
        <f t="shared" si="1"/>
        <v>269780</v>
      </c>
      <c r="H17" s="10"/>
      <c r="I17" s="10"/>
      <c r="J17" s="10"/>
    </row>
    <row r="19" spans="2:11">
      <c r="B19" s="24" t="s">
        <v>14</v>
      </c>
      <c r="C19" s="10"/>
      <c r="D19" s="10"/>
      <c r="E19" s="10"/>
      <c r="F19" s="10"/>
      <c r="G19" s="10"/>
      <c r="H19" s="10"/>
      <c r="I19" s="10"/>
      <c r="J19" s="10"/>
    </row>
    <row r="20" spans="2:11">
      <c r="B20" s="17" t="s">
        <v>6</v>
      </c>
      <c r="C20" s="12">
        <v>180000</v>
      </c>
      <c r="D20" s="12">
        <v>234242</v>
      </c>
      <c r="E20" s="12">
        <v>42323</v>
      </c>
      <c r="F20" s="12">
        <v>57856</v>
      </c>
      <c r="G20" s="12">
        <v>85423</v>
      </c>
      <c r="H20" s="10"/>
      <c r="I20" s="12">
        <v>1</v>
      </c>
      <c r="J20" s="12"/>
      <c r="K20" s="18" t="str">
        <f>IF(AND(J20=1,I20&lt;&gt;1),"EROR, NON INVESTED CAPITAL ITEM CAN'T BE WORKING CAPITAL",IF(AND(J20=1,I20=1),"PLEASE NOTE - YOU CLASIFIED NON CURRENT ASSET AS WORKING CAPITAL",""))</f>
        <v/>
      </c>
    </row>
    <row r="21" spans="2:11">
      <c r="B21" s="17" t="s">
        <v>7</v>
      </c>
      <c r="C21" s="12">
        <v>65464</v>
      </c>
      <c r="D21" s="12">
        <v>654646</v>
      </c>
      <c r="E21" s="12">
        <v>23422</v>
      </c>
      <c r="F21" s="12">
        <v>52342</v>
      </c>
      <c r="G21" s="12">
        <v>53453</v>
      </c>
      <c r="H21" s="10"/>
      <c r="I21" s="12">
        <v>3</v>
      </c>
      <c r="J21" s="12"/>
      <c r="K21" s="20" t="str">
        <f t="shared" ref="K21:K26" si="2">IF(AND(J21=1,I21&lt;&gt;1),"EROR, NON INVESTED CAPITAL ITEM CAN'T BE WORKING CAPITAL",IF(AND(J21=1,I21=1),"PLEASE NOTE - YOU CLASIFIED NON CURRENT ASSET AS WORKING CAPITAL",""))</f>
        <v/>
      </c>
    </row>
    <row r="22" spans="2:11">
      <c r="B22" s="17" t="s">
        <v>8</v>
      </c>
      <c r="C22" s="12">
        <v>200000</v>
      </c>
      <c r="D22" s="12">
        <v>234234</v>
      </c>
      <c r="E22" s="12">
        <v>234234</v>
      </c>
      <c r="F22" s="12">
        <v>200000</v>
      </c>
      <c r="G22" s="12">
        <v>180000</v>
      </c>
      <c r="H22" s="10"/>
      <c r="I22" s="12">
        <v>1</v>
      </c>
      <c r="J22" s="12"/>
      <c r="K22" s="20" t="str">
        <f t="shared" si="2"/>
        <v/>
      </c>
    </row>
    <row r="23" spans="2:11">
      <c r="B23" s="17" t="s">
        <v>9</v>
      </c>
      <c r="C23" s="12">
        <v>242324</v>
      </c>
      <c r="D23" s="12">
        <v>234234</v>
      </c>
      <c r="E23" s="12">
        <v>654664</v>
      </c>
      <c r="F23" s="12">
        <v>654645</v>
      </c>
      <c r="G23" s="12">
        <v>250000</v>
      </c>
      <c r="H23" s="10"/>
      <c r="I23" s="12">
        <v>1</v>
      </c>
      <c r="J23" s="12"/>
      <c r="K23" s="20" t="str">
        <f t="shared" si="2"/>
        <v/>
      </c>
    </row>
    <row r="24" spans="2:11">
      <c r="B24" s="17" t="s">
        <v>10</v>
      </c>
      <c r="C24" s="12">
        <v>200000</v>
      </c>
      <c r="D24" s="12">
        <v>200000</v>
      </c>
      <c r="E24" s="12">
        <v>200000</v>
      </c>
      <c r="F24" s="12">
        <v>200000</v>
      </c>
      <c r="G24" s="12">
        <v>200000</v>
      </c>
      <c r="H24" s="10"/>
      <c r="I24" s="12">
        <v>2</v>
      </c>
      <c r="J24" s="12"/>
      <c r="K24" s="20" t="str">
        <f t="shared" si="2"/>
        <v/>
      </c>
    </row>
    <row r="25" spans="2:11">
      <c r="B25" s="17" t="s">
        <v>11</v>
      </c>
      <c r="C25" s="12"/>
      <c r="D25" s="12"/>
      <c r="E25" s="12"/>
      <c r="F25" s="12"/>
      <c r="G25" s="12"/>
      <c r="H25" s="10"/>
      <c r="I25" s="12"/>
      <c r="J25" s="12"/>
      <c r="K25" s="20" t="str">
        <f t="shared" si="2"/>
        <v/>
      </c>
    </row>
    <row r="26" spans="2:11">
      <c r="B26" s="17" t="s">
        <v>12</v>
      </c>
      <c r="C26" s="12"/>
      <c r="D26" s="12"/>
      <c r="E26" s="12"/>
      <c r="F26" s="12"/>
      <c r="G26" s="12"/>
      <c r="H26" s="10"/>
      <c r="I26" s="12"/>
      <c r="J26" s="12"/>
      <c r="K26" s="21" t="str">
        <f t="shared" si="2"/>
        <v/>
      </c>
    </row>
    <row r="27" spans="2:11">
      <c r="B27" s="22" t="s">
        <v>15</v>
      </c>
      <c r="C27" s="23">
        <f>SUM(C20:C26)</f>
        <v>887788</v>
      </c>
      <c r="D27" s="23">
        <f t="shared" ref="D27:G27" si="3">SUM(D20:D26)</f>
        <v>1557356</v>
      </c>
      <c r="E27" s="23">
        <f t="shared" si="3"/>
        <v>1154643</v>
      </c>
      <c r="F27" s="23">
        <f t="shared" si="3"/>
        <v>1164843</v>
      </c>
      <c r="G27" s="23">
        <f t="shared" si="3"/>
        <v>768876</v>
      </c>
      <c r="H27" s="10"/>
      <c r="I27" s="10"/>
      <c r="J27" s="10"/>
    </row>
    <row r="29" spans="2:11" ht="15.75" thickBot="1">
      <c r="B29" s="25" t="s">
        <v>16</v>
      </c>
      <c r="C29" s="26">
        <f>C17+C27</f>
        <v>1117213</v>
      </c>
      <c r="D29" s="26">
        <f t="shared" ref="D29:G29" si="4">D17+D27</f>
        <v>1814388</v>
      </c>
      <c r="E29" s="26">
        <f t="shared" si="4"/>
        <v>1366727</v>
      </c>
      <c r="F29" s="26">
        <f t="shared" si="4"/>
        <v>1379184</v>
      </c>
      <c r="G29" s="26">
        <f t="shared" si="4"/>
        <v>1038656</v>
      </c>
      <c r="H29" s="10"/>
      <c r="I29" s="10"/>
      <c r="J29" s="10"/>
    </row>
    <row r="33" spans="2:11">
      <c r="B33" s="13" t="s">
        <v>17</v>
      </c>
      <c r="C33" s="10"/>
      <c r="D33" s="10"/>
      <c r="E33" s="10"/>
      <c r="F33" s="10"/>
      <c r="G33" s="10"/>
      <c r="H33" s="10"/>
      <c r="I33" s="10"/>
      <c r="J33" s="10"/>
    </row>
    <row r="35" spans="2:11" ht="49.5" thickBot="1">
      <c r="B35" s="14"/>
      <c r="C35" s="14">
        <f>C8</f>
        <v>2009</v>
      </c>
      <c r="D35" s="14">
        <f>D8</f>
        <v>2010</v>
      </c>
      <c r="E35" s="14">
        <f>E8</f>
        <v>2011</v>
      </c>
      <c r="F35" s="14">
        <f>F8</f>
        <v>2012</v>
      </c>
      <c r="G35" s="14">
        <f>G8</f>
        <v>2013</v>
      </c>
      <c r="H35" s="10"/>
      <c r="I35" s="16" t="s">
        <v>3</v>
      </c>
      <c r="J35" s="16" t="s">
        <v>4</v>
      </c>
      <c r="K35" s="16" t="s">
        <v>219</v>
      </c>
    </row>
    <row r="36" spans="2:11">
      <c r="B36" s="10" t="s">
        <v>18</v>
      </c>
      <c r="C36" s="10"/>
      <c r="D36" s="10"/>
      <c r="E36" s="10"/>
      <c r="F36" s="10"/>
      <c r="G36" s="10"/>
      <c r="H36" s="10"/>
      <c r="I36" s="10"/>
      <c r="J36" s="10"/>
    </row>
    <row r="37" spans="2:11">
      <c r="B37" s="17" t="s">
        <v>6</v>
      </c>
      <c r="C37" s="12">
        <v>423</v>
      </c>
      <c r="D37" s="12">
        <v>321</v>
      </c>
      <c r="E37" s="12">
        <v>5</v>
      </c>
      <c r="F37" s="12">
        <v>423</v>
      </c>
      <c r="G37" s="12">
        <v>524</v>
      </c>
      <c r="H37" s="10"/>
      <c r="I37" s="12">
        <v>1</v>
      </c>
      <c r="J37" s="12">
        <v>1</v>
      </c>
      <c r="K37" s="18" t="str">
        <f>IF(AND(J37=1,I37&lt;&gt;1),"EROR, NON INVESTED CAPITAL ITEM CAN'T BE WORKING CAPITAL","")</f>
        <v/>
      </c>
    </row>
    <row r="38" spans="2:11">
      <c r="B38" s="17" t="s">
        <v>7</v>
      </c>
      <c r="C38" s="12">
        <v>432</v>
      </c>
      <c r="D38" s="12">
        <v>423</v>
      </c>
      <c r="E38" s="12">
        <v>31</v>
      </c>
      <c r="F38" s="12">
        <v>312</v>
      </c>
      <c r="G38" s="12">
        <v>312</v>
      </c>
      <c r="H38" s="10"/>
      <c r="I38" s="12">
        <v>1</v>
      </c>
      <c r="J38" s="12"/>
      <c r="K38" s="20" t="str">
        <f t="shared" ref="K38:K43" si="5">IF(AND(J38=1,I38&lt;&gt;1),"EROR, NON INVESTED CAPITAL ITEM CAN'T BE WORKING CAPITAL","")</f>
        <v/>
      </c>
    </row>
    <row r="39" spans="2:11">
      <c r="B39" s="17" t="s">
        <v>8</v>
      </c>
      <c r="C39" s="12">
        <v>2341</v>
      </c>
      <c r="D39" s="12">
        <v>1253</v>
      </c>
      <c r="E39" s="12">
        <v>2135</v>
      </c>
      <c r="F39" s="12">
        <v>3123</v>
      </c>
      <c r="G39" s="12">
        <v>3123</v>
      </c>
      <c r="H39" s="10"/>
      <c r="I39" s="12">
        <v>2</v>
      </c>
      <c r="J39" s="12"/>
      <c r="K39" s="20" t="str">
        <f t="shared" si="5"/>
        <v/>
      </c>
    </row>
    <row r="40" spans="2:11">
      <c r="B40" s="17" t="s">
        <v>9</v>
      </c>
      <c r="C40" s="12">
        <v>2000</v>
      </c>
      <c r="D40" s="12">
        <v>2000</v>
      </c>
      <c r="E40" s="12">
        <v>2000</v>
      </c>
      <c r="F40" s="12">
        <v>2000</v>
      </c>
      <c r="G40" s="12">
        <v>2000</v>
      </c>
      <c r="H40" s="10"/>
      <c r="I40" s="12">
        <v>3</v>
      </c>
      <c r="J40" s="12"/>
      <c r="K40" s="20" t="str">
        <f t="shared" si="5"/>
        <v/>
      </c>
    </row>
    <row r="41" spans="2:11">
      <c r="B41" s="17" t="s">
        <v>10</v>
      </c>
      <c r="C41" s="12"/>
      <c r="D41" s="12"/>
      <c r="E41" s="12"/>
      <c r="F41" s="12"/>
      <c r="G41" s="12"/>
      <c r="H41" s="10"/>
      <c r="I41" s="12"/>
      <c r="J41" s="12"/>
      <c r="K41" s="20" t="str">
        <f t="shared" si="5"/>
        <v/>
      </c>
    </row>
    <row r="42" spans="2:11">
      <c r="B42" s="17" t="s">
        <v>11</v>
      </c>
      <c r="C42" s="12"/>
      <c r="D42" s="12"/>
      <c r="E42" s="12"/>
      <c r="F42" s="12"/>
      <c r="G42" s="12"/>
      <c r="H42" s="10"/>
      <c r="I42" s="12"/>
      <c r="J42" s="12"/>
      <c r="K42" s="20" t="str">
        <f t="shared" si="5"/>
        <v/>
      </c>
    </row>
    <row r="43" spans="2:11">
      <c r="B43" s="17" t="s">
        <v>12</v>
      </c>
      <c r="C43" s="12"/>
      <c r="D43" s="12"/>
      <c r="E43" s="12"/>
      <c r="F43" s="12"/>
      <c r="G43" s="12"/>
      <c r="H43" s="10"/>
      <c r="I43" s="12"/>
      <c r="J43" s="12"/>
      <c r="K43" s="21" t="str">
        <f t="shared" si="5"/>
        <v/>
      </c>
    </row>
    <row r="44" spans="2:11">
      <c r="B44" s="22" t="s">
        <v>13</v>
      </c>
      <c r="C44" s="23">
        <f>SUM(C37:C43)</f>
        <v>5196</v>
      </c>
      <c r="D44" s="23">
        <f>SUM(D37:D43)</f>
        <v>3997</v>
      </c>
      <c r="E44" s="23">
        <f>SUM(E37:E43)</f>
        <v>4171</v>
      </c>
      <c r="F44" s="23">
        <f>SUM(F37:F43)</f>
        <v>5858</v>
      </c>
      <c r="G44" s="23">
        <f>SUM(G37:G43)</f>
        <v>5959</v>
      </c>
      <c r="H44" s="10"/>
      <c r="I44" s="10"/>
      <c r="J44" s="10"/>
    </row>
    <row r="46" spans="2:11">
      <c r="B46" s="24" t="s">
        <v>19</v>
      </c>
      <c r="C46" s="10"/>
      <c r="D46" s="10"/>
      <c r="E46" s="10"/>
      <c r="F46" s="10"/>
      <c r="G46" s="10"/>
      <c r="H46" s="10"/>
      <c r="I46" s="10"/>
      <c r="J46" s="10"/>
    </row>
    <row r="47" spans="2:11">
      <c r="B47" s="17" t="s">
        <v>6</v>
      </c>
      <c r="C47" s="12">
        <v>31231</v>
      </c>
      <c r="D47" s="12">
        <v>32424</v>
      </c>
      <c r="E47" s="12">
        <v>42342</v>
      </c>
      <c r="F47" s="12">
        <v>42342</v>
      </c>
      <c r="G47" s="12">
        <v>65468</v>
      </c>
      <c r="H47" s="10"/>
      <c r="I47" s="12">
        <v>2</v>
      </c>
      <c r="J47" s="12"/>
      <c r="K47" s="18" t="str">
        <f>IF(AND(J47=1,I47&lt;&gt;1),"EROR, NON INVESTED CAPITAL ITEM CAN'T BE WORKING CAPITAL",IF(AND(J47=1,I47=1),"PLEASE NOTE - YOU CLASIFIED NON CURRENT ASSET AS WORKING CAPITAL",""))</f>
        <v/>
      </c>
    </row>
    <row r="48" spans="2:11">
      <c r="B48" s="17" t="s">
        <v>7</v>
      </c>
      <c r="C48" s="12">
        <v>31233</v>
      </c>
      <c r="D48" s="12">
        <v>23145</v>
      </c>
      <c r="E48" s="12">
        <v>23423</v>
      </c>
      <c r="F48" s="12">
        <v>12315</v>
      </c>
      <c r="G48" s="12">
        <v>52345</v>
      </c>
      <c r="H48" s="10"/>
      <c r="I48" s="12">
        <v>2</v>
      </c>
      <c r="J48" s="12"/>
      <c r="K48" s="20" t="str">
        <f t="shared" ref="K48:K53" si="6">IF(AND(J48=1,I48&lt;&gt;1),"EROR, NON INVESTED CAPITAL ITEM CAN'T BE WORKING CAPITAL",IF(AND(J48=1,I48=1),"PLEASE NOTE - YOU CLASIFIED NON CURRENT ASSET AS WORKING CAPITAL",""))</f>
        <v/>
      </c>
    </row>
    <row r="49" spans="2:11">
      <c r="B49" s="17" t="s">
        <v>8</v>
      </c>
      <c r="C49" s="12">
        <v>300000</v>
      </c>
      <c r="D49" s="12">
        <v>300000</v>
      </c>
      <c r="E49" s="12">
        <v>300000</v>
      </c>
      <c r="F49" s="12">
        <v>300000</v>
      </c>
      <c r="G49" s="12">
        <v>300000</v>
      </c>
      <c r="H49" s="10"/>
      <c r="I49" s="12">
        <v>2</v>
      </c>
      <c r="J49" s="27"/>
      <c r="K49" s="20" t="str">
        <f t="shared" si="6"/>
        <v/>
      </c>
    </row>
    <row r="50" spans="2:11">
      <c r="B50" s="17" t="s">
        <v>9</v>
      </c>
      <c r="C50" s="12">
        <v>2000</v>
      </c>
      <c r="D50" s="12">
        <v>2000</v>
      </c>
      <c r="E50" s="12">
        <v>2000</v>
      </c>
      <c r="F50" s="12">
        <v>2000</v>
      </c>
      <c r="G50" s="12">
        <v>2000</v>
      </c>
      <c r="H50" s="10"/>
      <c r="I50" s="12">
        <v>3</v>
      </c>
      <c r="J50" s="27"/>
      <c r="K50" s="20" t="str">
        <f t="shared" si="6"/>
        <v/>
      </c>
    </row>
    <row r="51" spans="2:11">
      <c r="B51" s="17" t="s">
        <v>10</v>
      </c>
      <c r="C51" s="12"/>
      <c r="D51" s="12"/>
      <c r="E51" s="12"/>
      <c r="F51" s="12"/>
      <c r="G51" s="12"/>
      <c r="H51" s="10"/>
      <c r="I51" s="12"/>
      <c r="J51" s="27"/>
      <c r="K51" s="20" t="str">
        <f t="shared" si="6"/>
        <v/>
      </c>
    </row>
    <row r="52" spans="2:11">
      <c r="B52" s="17" t="s">
        <v>11</v>
      </c>
      <c r="C52" s="12"/>
      <c r="D52" s="12"/>
      <c r="E52" s="12"/>
      <c r="F52" s="12"/>
      <c r="G52" s="12"/>
      <c r="H52" s="10"/>
      <c r="I52" s="12"/>
      <c r="J52" s="27"/>
      <c r="K52" s="20" t="str">
        <f t="shared" si="6"/>
        <v/>
      </c>
    </row>
    <row r="53" spans="2:11">
      <c r="B53" s="17" t="s">
        <v>12</v>
      </c>
      <c r="C53" s="12"/>
      <c r="D53" s="12"/>
      <c r="E53" s="12"/>
      <c r="F53" s="12"/>
      <c r="G53" s="12"/>
      <c r="H53" s="10"/>
      <c r="I53" s="12"/>
      <c r="J53" s="27"/>
      <c r="K53" s="21" t="str">
        <f t="shared" si="6"/>
        <v/>
      </c>
    </row>
    <row r="54" spans="2:11">
      <c r="B54" s="22" t="s">
        <v>15</v>
      </c>
      <c r="C54" s="23">
        <f>SUM(C47:C53)</f>
        <v>364464</v>
      </c>
      <c r="D54" s="23">
        <f>SUM(D47:D53)</f>
        <v>357569</v>
      </c>
      <c r="E54" s="23">
        <f>SUM(E47:E53)</f>
        <v>367765</v>
      </c>
      <c r="F54" s="23">
        <f>SUM(F47:F53)</f>
        <v>356657</v>
      </c>
      <c r="G54" s="23">
        <f>SUM(G47:G53)</f>
        <v>419813</v>
      </c>
      <c r="H54" s="10"/>
      <c r="I54" s="10"/>
    </row>
    <row r="56" spans="2:11" ht="15.75" thickBot="1">
      <c r="B56" s="25" t="s">
        <v>20</v>
      </c>
      <c r="C56" s="26">
        <f>C44+C54</f>
        <v>369660</v>
      </c>
      <c r="D56" s="26">
        <f>D44+D54</f>
        <v>361566</v>
      </c>
      <c r="E56" s="26">
        <f>E44+E54</f>
        <v>371936</v>
      </c>
      <c r="F56" s="26">
        <f>F44+F54</f>
        <v>362515</v>
      </c>
      <c r="G56" s="26">
        <f>G44+G54</f>
        <v>425772</v>
      </c>
      <c r="H56" s="10"/>
      <c r="I56" s="10"/>
    </row>
    <row r="59" spans="2:11" ht="15.75" thickBot="1">
      <c r="B59" s="25" t="s">
        <v>179</v>
      </c>
      <c r="C59" s="28"/>
      <c r="D59" s="28"/>
      <c r="E59" s="28"/>
      <c r="F59" s="28"/>
      <c r="G59" s="28"/>
    </row>
    <row r="60" spans="2:11">
      <c r="C60" s="29" t="b">
        <f>C29=(C56+C59)</f>
        <v>0</v>
      </c>
      <c r="D60" s="29" t="b">
        <f>D29=(D56+D59)</f>
        <v>0</v>
      </c>
      <c r="E60" s="29" t="b">
        <f>E29=(E56+E59)</f>
        <v>0</v>
      </c>
      <c r="F60" s="29" t="b">
        <f>F29=(F56+F59)</f>
        <v>0</v>
      </c>
      <c r="G60" s="29" t="b">
        <f>G29=(G56+G59)</f>
        <v>0</v>
      </c>
    </row>
  </sheetData>
  <conditionalFormatting sqref="K10">
    <cfRule type="notContainsBlanks" dxfId="4" priority="5">
      <formula>LEN(TRIM(K10))&gt;0</formula>
    </cfRule>
  </conditionalFormatting>
  <conditionalFormatting sqref="K11:K16">
    <cfRule type="notContainsBlanks" dxfId="3" priority="4">
      <formula>LEN(TRIM(K11))&gt;0</formula>
    </cfRule>
  </conditionalFormatting>
  <conditionalFormatting sqref="K20:K26">
    <cfRule type="notContainsBlanks" dxfId="2" priority="3">
      <formula>LEN(TRIM(K20))&gt;0</formula>
    </cfRule>
  </conditionalFormatting>
  <conditionalFormatting sqref="K37:K43">
    <cfRule type="notContainsBlanks" dxfId="1" priority="2">
      <formula>LEN(TRIM(K37))&gt;0</formula>
    </cfRule>
  </conditionalFormatting>
  <conditionalFormatting sqref="K47:K53">
    <cfRule type="notContainsBlanks" dxfId="0" priority="1">
      <formula>LEN(TRIM(K47))&gt;0</formula>
    </cfRule>
  </conditionalFormatting>
  <dataValidations disablePrompts="1" count="4">
    <dataValidation type="whole" allowBlank="1" showInputMessage="1" showErrorMessage="1" errorTitle="Worning" error="Please Enter &quot;1&quot;, &quot;2&quot;, or &quot;3&quot;" sqref="I37:I43">
      <formula1>1</formula1>
      <formula2>3</formula2>
    </dataValidation>
    <dataValidation type="whole" allowBlank="1" showInputMessage="1" showErrorMessage="1" errorTitle="Worning" error="Please Enter &quot;1&quot;, &quot;2&quot;, or &quot;3&quot;" sqref="I47:I53">
      <formula1>1</formula1>
      <formula2>3</formula2>
    </dataValidation>
    <dataValidation type="whole" allowBlank="1" showInputMessage="1" showErrorMessage="1" errorTitle="Worning" error="Please Enter &quot;1&quot;, &quot;2&quot;, or &quot;3&quot;" sqref="I10:I16 I20:I26">
      <formula1>1</formula1>
      <formula2>3</formula2>
    </dataValidation>
    <dataValidation type="whole" allowBlank="1" showInputMessage="1" showErrorMessage="1" sqref="J10:J16 J20:J26 J37:J43 J47:J53">
      <formula1>0</formula1>
      <formula2>1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B1:G31"/>
  <sheetViews>
    <sheetView showGridLines="0" workbookViewId="0">
      <selection activeCell="B4" sqref="B4"/>
    </sheetView>
  </sheetViews>
  <sheetFormatPr defaultRowHeight="15"/>
  <cols>
    <col min="1" max="1" width="2.75" style="11" customWidth="1"/>
    <col min="2" max="2" width="22.125" style="11" bestFit="1" customWidth="1"/>
    <col min="3" max="16384" width="9" style="11"/>
  </cols>
  <sheetData>
    <row r="1" spans="2:7">
      <c r="B1" s="9" t="s">
        <v>21</v>
      </c>
      <c r="C1" s="10"/>
      <c r="D1" s="10"/>
      <c r="E1" s="10"/>
      <c r="F1" s="10"/>
      <c r="G1" s="10"/>
    </row>
    <row r="3" spans="2:7">
      <c r="B3" s="10" t="s">
        <v>1</v>
      </c>
      <c r="C3" s="12"/>
      <c r="D3" s="10"/>
      <c r="E3" s="10"/>
      <c r="F3" s="10"/>
      <c r="G3" s="10"/>
    </row>
    <row r="4" spans="2:7">
      <c r="B4" s="30" t="s">
        <v>37</v>
      </c>
    </row>
    <row r="7" spans="2:7" ht="15.75" thickBot="1">
      <c r="B7" s="14"/>
      <c r="C7" s="31">
        <f>'Input - Balance Sheet'!C8</f>
        <v>2009</v>
      </c>
      <c r="D7" s="31">
        <f>'Input - Balance Sheet'!D8</f>
        <v>2010</v>
      </c>
      <c r="E7" s="31">
        <f>'Input - Balance Sheet'!E8</f>
        <v>2011</v>
      </c>
      <c r="F7" s="31">
        <f>'Input - Balance Sheet'!F8</f>
        <v>2012</v>
      </c>
      <c r="G7" s="31">
        <f>'Input - Balance Sheet'!G8</f>
        <v>2013</v>
      </c>
    </row>
    <row r="8" spans="2:7">
      <c r="B8" s="32" t="s">
        <v>22</v>
      </c>
      <c r="C8" s="33">
        <v>150000</v>
      </c>
      <c r="D8" s="33">
        <v>160000</v>
      </c>
      <c r="E8" s="33">
        <v>165000</v>
      </c>
      <c r="F8" s="33">
        <v>150000</v>
      </c>
      <c r="G8" s="33">
        <v>170000</v>
      </c>
    </row>
    <row r="9" spans="2:7">
      <c r="B9" s="34" t="s">
        <v>23</v>
      </c>
      <c r="C9" s="33">
        <v>50000</v>
      </c>
      <c r="D9" s="33">
        <v>50000</v>
      </c>
      <c r="E9" s="33">
        <v>50000</v>
      </c>
      <c r="F9" s="33">
        <v>50000</v>
      </c>
      <c r="G9" s="33">
        <v>50000</v>
      </c>
    </row>
    <row r="10" spans="2:7">
      <c r="B10" s="35" t="s">
        <v>24</v>
      </c>
      <c r="C10" s="36">
        <f>C8-C9</f>
        <v>100000</v>
      </c>
      <c r="D10" s="36">
        <f t="shared" ref="D10:G10" si="0">D8-D9</f>
        <v>110000</v>
      </c>
      <c r="E10" s="36">
        <f t="shared" si="0"/>
        <v>115000</v>
      </c>
      <c r="F10" s="36">
        <f t="shared" si="0"/>
        <v>100000</v>
      </c>
      <c r="G10" s="36">
        <f t="shared" si="0"/>
        <v>120000</v>
      </c>
    </row>
    <row r="11" spans="2:7">
      <c r="B11" s="37"/>
      <c r="C11" s="32"/>
      <c r="D11" s="32"/>
      <c r="E11" s="32"/>
      <c r="F11" s="32"/>
      <c r="G11" s="32"/>
    </row>
    <row r="12" spans="2:7">
      <c r="B12" s="34" t="s">
        <v>25</v>
      </c>
      <c r="C12" s="33">
        <v>10000</v>
      </c>
      <c r="D12" s="33">
        <v>10000</v>
      </c>
      <c r="E12" s="33">
        <v>10000</v>
      </c>
      <c r="F12" s="33">
        <v>10000</v>
      </c>
      <c r="G12" s="33">
        <v>10000</v>
      </c>
    </row>
    <row r="13" spans="2:7">
      <c r="B13" s="34" t="s">
        <v>26</v>
      </c>
      <c r="C13" s="33">
        <v>10000</v>
      </c>
      <c r="D13" s="33">
        <v>10000</v>
      </c>
      <c r="E13" s="33">
        <v>10000</v>
      </c>
      <c r="F13" s="33">
        <v>10000</v>
      </c>
      <c r="G13" s="33">
        <v>10000</v>
      </c>
    </row>
    <row r="14" spans="2:7">
      <c r="B14" s="34" t="s">
        <v>27</v>
      </c>
      <c r="C14" s="33">
        <v>10000</v>
      </c>
      <c r="D14" s="33">
        <v>10000</v>
      </c>
      <c r="E14" s="33">
        <v>10000</v>
      </c>
      <c r="F14" s="33">
        <v>10000</v>
      </c>
      <c r="G14" s="33">
        <v>10000</v>
      </c>
    </row>
    <row r="15" spans="2:7">
      <c r="B15" s="34" t="s">
        <v>28</v>
      </c>
      <c r="C15" s="33"/>
      <c r="D15" s="33"/>
      <c r="E15" s="33"/>
      <c r="F15" s="33"/>
      <c r="G15" s="33"/>
    </row>
    <row r="16" spans="2:7">
      <c r="B16" s="35" t="s">
        <v>29</v>
      </c>
      <c r="C16" s="36">
        <f>C10-SUM(C12:C15)</f>
        <v>70000</v>
      </c>
      <c r="D16" s="36">
        <f t="shared" ref="D16:G16" si="1">D10-SUM(D12:D15)</f>
        <v>80000</v>
      </c>
      <c r="E16" s="36">
        <f t="shared" si="1"/>
        <v>85000</v>
      </c>
      <c r="F16" s="36">
        <f t="shared" si="1"/>
        <v>70000</v>
      </c>
      <c r="G16" s="36">
        <f t="shared" si="1"/>
        <v>90000</v>
      </c>
    </row>
    <row r="17" spans="2:7">
      <c r="B17" s="38"/>
      <c r="C17" s="39"/>
      <c r="D17" s="39"/>
      <c r="E17" s="39"/>
      <c r="F17" s="39"/>
      <c r="G17" s="39"/>
    </row>
    <row r="18" spans="2:7">
      <c r="B18" s="34" t="s">
        <v>31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2:7">
      <c r="B19" s="35" t="s">
        <v>38</v>
      </c>
      <c r="C19" s="36">
        <f>C16+C18</f>
        <v>70000</v>
      </c>
      <c r="D19" s="36">
        <f t="shared" ref="D19:G19" si="2">D16+D18</f>
        <v>80000</v>
      </c>
      <c r="E19" s="36">
        <f t="shared" si="2"/>
        <v>85000</v>
      </c>
      <c r="F19" s="36">
        <f t="shared" si="2"/>
        <v>70000</v>
      </c>
      <c r="G19" s="36">
        <f t="shared" si="2"/>
        <v>90000</v>
      </c>
    </row>
    <row r="20" spans="2:7">
      <c r="B20" s="38"/>
      <c r="C20" s="39"/>
      <c r="D20" s="39"/>
      <c r="E20" s="39"/>
      <c r="F20" s="39"/>
      <c r="G20" s="39"/>
    </row>
    <row r="21" spans="2:7">
      <c r="B21" s="34" t="s">
        <v>30</v>
      </c>
      <c r="C21" s="33">
        <v>10000</v>
      </c>
      <c r="D21" s="33">
        <v>10000</v>
      </c>
      <c r="E21" s="33">
        <v>10000</v>
      </c>
      <c r="F21" s="33">
        <v>10000</v>
      </c>
      <c r="G21" s="33">
        <v>10000</v>
      </c>
    </row>
    <row r="22" spans="2:7">
      <c r="B22" s="35" t="s">
        <v>32</v>
      </c>
      <c r="C22" s="36">
        <f>C19+C21</f>
        <v>80000</v>
      </c>
      <c r="D22" s="36">
        <f t="shared" ref="D22:G22" si="3">D19+D21</f>
        <v>90000</v>
      </c>
      <c r="E22" s="36">
        <f t="shared" si="3"/>
        <v>95000</v>
      </c>
      <c r="F22" s="36">
        <f t="shared" si="3"/>
        <v>80000</v>
      </c>
      <c r="G22" s="36">
        <f t="shared" si="3"/>
        <v>100000</v>
      </c>
    </row>
    <row r="23" spans="2:7">
      <c r="B23" s="37"/>
      <c r="C23" s="32"/>
      <c r="D23" s="32"/>
      <c r="E23" s="32"/>
      <c r="F23" s="32"/>
      <c r="G23" s="32"/>
    </row>
    <row r="24" spans="2:7">
      <c r="B24" s="34" t="s">
        <v>33</v>
      </c>
      <c r="C24" s="33">
        <v>2000</v>
      </c>
      <c r="D24" s="33">
        <v>2000</v>
      </c>
      <c r="E24" s="33">
        <v>2000</v>
      </c>
      <c r="F24" s="33">
        <v>2000</v>
      </c>
      <c r="G24" s="33">
        <v>2000</v>
      </c>
    </row>
    <row r="25" spans="2:7">
      <c r="B25" s="35" t="s">
        <v>34</v>
      </c>
      <c r="C25" s="36">
        <f>C16-C24</f>
        <v>68000</v>
      </c>
      <c r="D25" s="36">
        <f t="shared" ref="D25:G25" si="4">D16-D24</f>
        <v>78000</v>
      </c>
      <c r="E25" s="36">
        <f t="shared" si="4"/>
        <v>83000</v>
      </c>
      <c r="F25" s="36">
        <f t="shared" si="4"/>
        <v>68000</v>
      </c>
      <c r="G25" s="36">
        <f t="shared" si="4"/>
        <v>88000</v>
      </c>
    </row>
    <row r="26" spans="2:7">
      <c r="B26" s="37"/>
      <c r="C26" s="32"/>
      <c r="D26" s="32"/>
      <c r="E26" s="32"/>
      <c r="F26" s="32"/>
      <c r="G26" s="32"/>
    </row>
    <row r="27" spans="2:7">
      <c r="B27" s="34" t="s">
        <v>35</v>
      </c>
      <c r="C27" s="33">
        <v>4000</v>
      </c>
      <c r="D27" s="33">
        <v>4000</v>
      </c>
      <c r="E27" s="33">
        <v>4000</v>
      </c>
      <c r="F27" s="33">
        <v>4000</v>
      </c>
      <c r="G27" s="33">
        <v>4000</v>
      </c>
    </row>
    <row r="28" spans="2:7">
      <c r="B28" s="35" t="s">
        <v>36</v>
      </c>
      <c r="C28" s="36">
        <f>C25-C27</f>
        <v>64000</v>
      </c>
      <c r="D28" s="36">
        <f t="shared" ref="D28:G28" si="5">D25-D27</f>
        <v>74000</v>
      </c>
      <c r="E28" s="36">
        <f t="shared" si="5"/>
        <v>79000</v>
      </c>
      <c r="F28" s="36">
        <f t="shared" si="5"/>
        <v>64000</v>
      </c>
      <c r="G28" s="36">
        <f t="shared" si="5"/>
        <v>84000</v>
      </c>
    </row>
    <row r="29" spans="2:7">
      <c r="B29" s="38"/>
      <c r="C29" s="39"/>
      <c r="D29" s="39"/>
      <c r="E29" s="39"/>
      <c r="F29" s="39"/>
      <c r="G29" s="39"/>
    </row>
    <row r="30" spans="2:7">
      <c r="B30" s="32"/>
      <c r="C30" s="32"/>
      <c r="D30" s="32"/>
      <c r="E30" s="32"/>
      <c r="F30" s="32"/>
      <c r="G30" s="32"/>
    </row>
    <row r="31" spans="2:7">
      <c r="B31" s="40"/>
      <c r="C31" s="41"/>
      <c r="D31" s="41"/>
      <c r="E31" s="41"/>
      <c r="F31" s="41"/>
      <c r="G31" s="4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B1:G6"/>
  <sheetViews>
    <sheetView showGridLines="0" workbookViewId="0">
      <selection activeCell="B1" sqref="B1"/>
    </sheetView>
  </sheetViews>
  <sheetFormatPr defaultRowHeight="15"/>
  <cols>
    <col min="1" max="1" width="2.75" style="11" customWidth="1"/>
    <col min="2" max="2" width="19.5" style="11" bestFit="1" customWidth="1"/>
    <col min="3" max="3" width="9" style="11" customWidth="1"/>
    <col min="4" max="16384" width="9" style="11"/>
  </cols>
  <sheetData>
    <row r="1" spans="2:7">
      <c r="B1" s="9" t="s">
        <v>39</v>
      </c>
      <c r="C1" s="10"/>
      <c r="D1" s="10"/>
      <c r="E1" s="10"/>
      <c r="F1" s="10"/>
      <c r="G1" s="10"/>
    </row>
    <row r="3" spans="2:7">
      <c r="B3" s="10" t="s">
        <v>1</v>
      </c>
      <c r="C3" s="12"/>
      <c r="D3" s="10"/>
      <c r="E3" s="10"/>
      <c r="F3" s="10"/>
      <c r="G3" s="10"/>
    </row>
    <row r="5" spans="2:7" ht="15.75" thickBot="1">
      <c r="B5" s="14"/>
      <c r="C5" s="14">
        <f>'Input - Balance Sheet'!C8</f>
        <v>2009</v>
      </c>
      <c r="D5" s="14">
        <f>'Input - Balance Sheet'!D8</f>
        <v>2010</v>
      </c>
      <c r="E5" s="14">
        <f>'Input - Balance Sheet'!E8</f>
        <v>2011</v>
      </c>
      <c r="F5" s="14">
        <f>'Input - Balance Sheet'!F8</f>
        <v>2012</v>
      </c>
      <c r="G5" s="14">
        <f>'Input - Balance Sheet'!G8</f>
        <v>2013</v>
      </c>
    </row>
    <row r="6" spans="2:7">
      <c r="B6" s="10" t="s">
        <v>40</v>
      </c>
      <c r="C6" s="42">
        <v>0.26</v>
      </c>
      <c r="D6" s="42">
        <v>0.25</v>
      </c>
      <c r="E6" s="42">
        <v>0.24</v>
      </c>
      <c r="F6" s="42">
        <v>0.25</v>
      </c>
      <c r="G6" s="42">
        <v>0.25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H97"/>
  <sheetViews>
    <sheetView showGridLines="0" zoomScaleNormal="100" workbookViewId="0">
      <selection activeCell="B3" sqref="B3"/>
    </sheetView>
  </sheetViews>
  <sheetFormatPr defaultRowHeight="15"/>
  <cols>
    <col min="1" max="1" width="2.75" style="11" customWidth="1"/>
    <col min="2" max="2" width="33.25" style="11" bestFit="1" customWidth="1"/>
    <col min="3" max="3" width="9.375" style="11" bestFit="1" customWidth="1"/>
    <col min="4" max="6" width="11.375" style="11" bestFit="1" customWidth="1"/>
    <col min="7" max="7" width="9.75" style="11" bestFit="1" customWidth="1"/>
    <col min="8" max="8" width="12.625" style="11" customWidth="1"/>
    <col min="9" max="16384" width="9" style="11"/>
  </cols>
  <sheetData>
    <row r="1" spans="2:7">
      <c r="B1" s="9" t="s">
        <v>41</v>
      </c>
      <c r="C1" s="10"/>
      <c r="D1" s="10"/>
      <c r="E1" s="10"/>
      <c r="F1" s="10"/>
      <c r="G1" s="10"/>
    </row>
    <row r="3" spans="2:7" ht="15.75" thickBot="1">
      <c r="B3" s="16" t="s">
        <v>42</v>
      </c>
      <c r="C3" s="14">
        <f>'Input - Income Statement'!C7</f>
        <v>2009</v>
      </c>
      <c r="D3" s="14">
        <f>'Input - Income Statement'!D7</f>
        <v>2010</v>
      </c>
      <c r="E3" s="14">
        <f>'Input - Income Statement'!E7</f>
        <v>2011</v>
      </c>
      <c r="F3" s="14">
        <f>'Input - Income Statement'!F7</f>
        <v>2012</v>
      </c>
      <c r="G3" s="14">
        <f>'Input - Income Statement'!G7</f>
        <v>2013</v>
      </c>
    </row>
    <row r="4" spans="2:7">
      <c r="B4" s="43" t="str">
        <f>'Input - Income Statement'!B8</f>
        <v>Revenues</v>
      </c>
      <c r="C4" s="43">
        <f>'Input - Income Statement'!C8</f>
        <v>150000</v>
      </c>
      <c r="D4" s="43">
        <f>'Input - Income Statement'!D8</f>
        <v>160000</v>
      </c>
      <c r="E4" s="43">
        <f>'Input - Income Statement'!E8</f>
        <v>165000</v>
      </c>
      <c r="F4" s="43">
        <f>'Input - Income Statement'!F8</f>
        <v>150000</v>
      </c>
      <c r="G4" s="43">
        <f>'Input - Income Statement'!G8</f>
        <v>170000</v>
      </c>
    </row>
    <row r="5" spans="2:7">
      <c r="B5" s="32" t="str">
        <f>'Input - Income Statement'!B9</f>
        <v>Cost Of Goods</v>
      </c>
      <c r="C5" s="32">
        <f>'Input - Income Statement'!C9</f>
        <v>50000</v>
      </c>
      <c r="D5" s="32">
        <f>'Input - Income Statement'!D9</f>
        <v>50000</v>
      </c>
      <c r="E5" s="32">
        <f>'Input - Income Statement'!E9</f>
        <v>50000</v>
      </c>
      <c r="F5" s="32">
        <f>'Input - Income Statement'!F9</f>
        <v>50000</v>
      </c>
      <c r="G5" s="32">
        <f>'Input - Income Statement'!G9</f>
        <v>50000</v>
      </c>
    </row>
    <row r="6" spans="2:7">
      <c r="B6" s="44" t="str">
        <f>'Input - Income Statement'!B10</f>
        <v>Gross profit</v>
      </c>
      <c r="C6" s="45">
        <f>'Input - Income Statement'!C10</f>
        <v>100000</v>
      </c>
      <c r="D6" s="45">
        <f>'Input - Income Statement'!D10</f>
        <v>110000</v>
      </c>
      <c r="E6" s="45">
        <f>'Input - Income Statement'!E10</f>
        <v>115000</v>
      </c>
      <c r="F6" s="45">
        <f>'Input - Income Statement'!F10</f>
        <v>100000</v>
      </c>
      <c r="G6" s="45">
        <f>'Input - Income Statement'!G10</f>
        <v>120000</v>
      </c>
    </row>
    <row r="7" spans="2:7">
      <c r="B7" s="37"/>
      <c r="C7" s="32"/>
      <c r="D7" s="32"/>
      <c r="E7" s="32"/>
      <c r="F7" s="32"/>
      <c r="G7" s="32"/>
    </row>
    <row r="8" spans="2:7">
      <c r="B8" s="34" t="str">
        <f>'Input - Income Statement'!B12</f>
        <v>Operating expeses 1</v>
      </c>
      <c r="C8" s="32">
        <f>'Input - Income Statement'!C12</f>
        <v>10000</v>
      </c>
      <c r="D8" s="32">
        <f>'Input - Income Statement'!D12</f>
        <v>10000</v>
      </c>
      <c r="E8" s="32">
        <f>'Input - Income Statement'!E12</f>
        <v>10000</v>
      </c>
      <c r="F8" s="32">
        <f>'Input - Income Statement'!F12</f>
        <v>10000</v>
      </c>
      <c r="G8" s="32">
        <f>'Input - Income Statement'!G12</f>
        <v>10000</v>
      </c>
    </row>
    <row r="9" spans="2:7">
      <c r="B9" s="34" t="str">
        <f>'Input - Income Statement'!B13</f>
        <v>Operating expeses 2</v>
      </c>
      <c r="C9" s="32">
        <f>'Input - Income Statement'!C13</f>
        <v>10000</v>
      </c>
      <c r="D9" s="32">
        <f>'Input - Income Statement'!D13</f>
        <v>10000</v>
      </c>
      <c r="E9" s="32">
        <f>'Input - Income Statement'!E13</f>
        <v>10000</v>
      </c>
      <c r="F9" s="32">
        <f>'Input - Income Statement'!F13</f>
        <v>10000</v>
      </c>
      <c r="G9" s="32">
        <f>'Input - Income Statement'!G13</f>
        <v>10000</v>
      </c>
    </row>
    <row r="10" spans="2:7">
      <c r="B10" s="34" t="str">
        <f>'Input - Income Statement'!B14</f>
        <v>Operating expeses 3</v>
      </c>
      <c r="C10" s="32">
        <f>'Input - Income Statement'!C14</f>
        <v>10000</v>
      </c>
      <c r="D10" s="32">
        <f>'Input - Income Statement'!D14</f>
        <v>10000</v>
      </c>
      <c r="E10" s="32">
        <f>'Input - Income Statement'!E14</f>
        <v>10000</v>
      </c>
      <c r="F10" s="32">
        <f>'Input - Income Statement'!F14</f>
        <v>10000</v>
      </c>
      <c r="G10" s="32">
        <f>'Input - Income Statement'!G14</f>
        <v>10000</v>
      </c>
    </row>
    <row r="11" spans="2:7">
      <c r="B11" s="34" t="str">
        <f>'Input - Income Statement'!B15</f>
        <v>Operating expeses 4</v>
      </c>
      <c r="C11" s="32">
        <f>'Input - Income Statement'!C15</f>
        <v>0</v>
      </c>
      <c r="D11" s="32">
        <f>'Input - Income Statement'!D15</f>
        <v>0</v>
      </c>
      <c r="E11" s="32">
        <f>'Input - Income Statement'!E15</f>
        <v>0</v>
      </c>
      <c r="F11" s="32">
        <f>'Input - Income Statement'!F15</f>
        <v>0</v>
      </c>
      <c r="G11" s="32">
        <f>'Input - Income Statement'!G15</f>
        <v>0</v>
      </c>
    </row>
    <row r="12" spans="2:7">
      <c r="B12" s="35" t="str">
        <f>'Input - Income Statement'!B16</f>
        <v>EBIT</v>
      </c>
      <c r="C12" s="36">
        <f>C6-SUM(C8:C11)</f>
        <v>70000</v>
      </c>
      <c r="D12" s="36">
        <f t="shared" ref="D12:G12" si="0">D6-SUM(D8:D11)</f>
        <v>80000</v>
      </c>
      <c r="E12" s="36">
        <f t="shared" si="0"/>
        <v>85000</v>
      </c>
      <c r="F12" s="36">
        <f t="shared" si="0"/>
        <v>70000</v>
      </c>
      <c r="G12" s="36">
        <f t="shared" si="0"/>
        <v>90000</v>
      </c>
    </row>
    <row r="13" spans="2:7">
      <c r="B13" s="35"/>
      <c r="C13" s="36"/>
      <c r="D13" s="36"/>
      <c r="E13" s="36"/>
      <c r="F13" s="36"/>
      <c r="G13" s="36"/>
    </row>
    <row r="14" spans="2:7">
      <c r="B14" s="34" t="str">
        <f>'Input - Income Statement'!B18</f>
        <v>Amortization expenses</v>
      </c>
      <c r="C14" s="32">
        <f>'Input - Income Statement'!C18</f>
        <v>0</v>
      </c>
      <c r="D14" s="32">
        <f>'Input - Income Statement'!D18</f>
        <v>0</v>
      </c>
      <c r="E14" s="32">
        <f>'Input - Income Statement'!E18</f>
        <v>0</v>
      </c>
      <c r="F14" s="32">
        <f>'Input - Income Statement'!F18</f>
        <v>0</v>
      </c>
      <c r="G14" s="32">
        <f>'Input - Income Statement'!G18</f>
        <v>0</v>
      </c>
    </row>
    <row r="15" spans="2:7">
      <c r="B15" s="35" t="str">
        <f>'Input - Income Statement'!B19</f>
        <v>EBITA</v>
      </c>
      <c r="C15" s="36">
        <f>C12+C14</f>
        <v>70000</v>
      </c>
      <c r="D15" s="36">
        <f t="shared" ref="D15:G15" si="1">D12+D14</f>
        <v>80000</v>
      </c>
      <c r="E15" s="36">
        <f t="shared" si="1"/>
        <v>85000</v>
      </c>
      <c r="F15" s="36">
        <f t="shared" si="1"/>
        <v>70000</v>
      </c>
      <c r="G15" s="36">
        <f t="shared" si="1"/>
        <v>90000</v>
      </c>
    </row>
    <row r="16" spans="2:7">
      <c r="B16" s="35"/>
      <c r="C16" s="36"/>
      <c r="D16" s="36"/>
      <c r="E16" s="36"/>
      <c r="F16" s="36"/>
      <c r="G16" s="36"/>
    </row>
    <row r="17" spans="2:8">
      <c r="B17" s="34" t="str">
        <f>'Input - Income Statement'!B21</f>
        <v>Depreciation expenses</v>
      </c>
      <c r="C17" s="32">
        <f>'Input - Income Statement'!C21</f>
        <v>10000</v>
      </c>
      <c r="D17" s="32">
        <f>'Input - Income Statement'!D21</f>
        <v>10000</v>
      </c>
      <c r="E17" s="32">
        <f>'Input - Income Statement'!E21</f>
        <v>10000</v>
      </c>
      <c r="F17" s="32">
        <f>'Input - Income Statement'!F21</f>
        <v>10000</v>
      </c>
      <c r="G17" s="32">
        <f>'Input - Income Statement'!G21</f>
        <v>10000</v>
      </c>
    </row>
    <row r="18" spans="2:8">
      <c r="B18" s="35" t="str">
        <f>'Input - Income Statement'!B22</f>
        <v>EBITDA</v>
      </c>
      <c r="C18" s="36">
        <f>C15+C17</f>
        <v>80000</v>
      </c>
      <c r="D18" s="36">
        <f t="shared" ref="D18:G18" si="2">D15+D17</f>
        <v>90000</v>
      </c>
      <c r="E18" s="36">
        <f t="shared" si="2"/>
        <v>95000</v>
      </c>
      <c r="F18" s="36">
        <f t="shared" si="2"/>
        <v>80000</v>
      </c>
      <c r="G18" s="36">
        <f t="shared" si="2"/>
        <v>100000</v>
      </c>
    </row>
    <row r="19" spans="2:8">
      <c r="B19" s="35"/>
      <c r="C19" s="36"/>
      <c r="D19" s="36"/>
      <c r="E19" s="36"/>
      <c r="F19" s="36"/>
      <c r="G19" s="36"/>
    </row>
    <row r="20" spans="2:8">
      <c r="B20" s="10" t="s">
        <v>43</v>
      </c>
      <c r="C20" s="10">
        <f>'Input - etc'!C6*'Output - Analysis'!C12</f>
        <v>18200</v>
      </c>
      <c r="D20" s="10">
        <f>'Input - etc'!D6*'Output - Analysis'!D12</f>
        <v>20000</v>
      </c>
      <c r="E20" s="10">
        <f>'Input - etc'!E6*'Output - Analysis'!E12</f>
        <v>20400</v>
      </c>
      <c r="F20" s="10">
        <f>'Input - etc'!F6*'Output - Analysis'!F12</f>
        <v>17500</v>
      </c>
      <c r="G20" s="10">
        <f>'Input - etc'!G6*'Output - Analysis'!G12</f>
        <v>22500</v>
      </c>
      <c r="H20" s="10"/>
    </row>
    <row r="21" spans="2:8">
      <c r="B21" s="35" t="s">
        <v>44</v>
      </c>
      <c r="C21" s="36">
        <f>C15-C20</f>
        <v>51800</v>
      </c>
      <c r="D21" s="36">
        <f t="shared" ref="D21:G21" si="3">D15-D20</f>
        <v>60000</v>
      </c>
      <c r="E21" s="36">
        <f t="shared" si="3"/>
        <v>64600</v>
      </c>
      <c r="F21" s="36">
        <f t="shared" si="3"/>
        <v>52500</v>
      </c>
      <c r="G21" s="36">
        <f t="shared" si="3"/>
        <v>67500</v>
      </c>
    </row>
    <row r="22" spans="2:8">
      <c r="B22" s="10"/>
      <c r="C22" s="10"/>
      <c r="D22" s="10"/>
      <c r="E22" s="10"/>
      <c r="F22" s="10"/>
      <c r="G22" s="10"/>
      <c r="H22" s="10"/>
    </row>
    <row r="23" spans="2:8">
      <c r="B23" s="34" t="s">
        <v>45</v>
      </c>
      <c r="C23" s="10"/>
      <c r="D23" s="10">
        <f>D17+D14</f>
        <v>10000</v>
      </c>
      <c r="E23" s="10">
        <f t="shared" ref="E23:G23" si="4">E17+E14</f>
        <v>10000</v>
      </c>
      <c r="F23" s="10">
        <f t="shared" si="4"/>
        <v>10000</v>
      </c>
      <c r="G23" s="10">
        <f t="shared" si="4"/>
        <v>10000</v>
      </c>
      <c r="H23" s="10"/>
    </row>
    <row r="24" spans="2:8">
      <c r="B24" s="35" t="s">
        <v>46</v>
      </c>
      <c r="C24" s="36"/>
      <c r="D24" s="36">
        <f>D21-D23</f>
        <v>50000</v>
      </c>
      <c r="E24" s="36">
        <f t="shared" ref="E24:G24" si="5">E21-E23</f>
        <v>54600</v>
      </c>
      <c r="F24" s="36">
        <f t="shared" si="5"/>
        <v>42500</v>
      </c>
      <c r="G24" s="36">
        <f t="shared" si="5"/>
        <v>57500</v>
      </c>
    </row>
    <row r="25" spans="2:8">
      <c r="B25" s="34"/>
      <c r="C25" s="10"/>
      <c r="D25" s="10"/>
      <c r="E25" s="10"/>
      <c r="F25" s="10"/>
      <c r="G25" s="10"/>
      <c r="H25" s="10"/>
    </row>
    <row r="26" spans="2:8">
      <c r="B26" s="10" t="s">
        <v>47</v>
      </c>
      <c r="C26" s="10"/>
      <c r="D26" s="46">
        <f>-(D34-C34)-D23</f>
        <v>-84194</v>
      </c>
      <c r="E26" s="46">
        <f t="shared" ref="E26:G26" si="6">-(E34-D34)-E23</f>
        <v>-245063</v>
      </c>
      <c r="F26" s="46">
        <f t="shared" si="6"/>
        <v>10852</v>
      </c>
      <c r="G26" s="46">
        <f t="shared" si="6"/>
        <v>381732</v>
      </c>
      <c r="H26" s="10"/>
    </row>
    <row r="27" spans="2:8">
      <c r="B27" s="10" t="s">
        <v>48</v>
      </c>
      <c r="C27" s="10"/>
      <c r="D27" s="46">
        <f>-(D35-C35)</f>
        <v>-14991</v>
      </c>
      <c r="E27" s="46">
        <f t="shared" ref="E27:G27" si="7">-(E35-D35)</f>
        <v>-2427</v>
      </c>
      <c r="F27" s="46">
        <f t="shared" si="7"/>
        <v>-3690</v>
      </c>
      <c r="G27" s="46">
        <f t="shared" si="7"/>
        <v>-43680</v>
      </c>
      <c r="H27" s="10"/>
    </row>
    <row r="28" spans="2:8">
      <c r="B28" s="23" t="s">
        <v>49</v>
      </c>
      <c r="C28" s="23"/>
      <c r="D28" s="23">
        <f>D24+SUM(D26:D27)</f>
        <v>-49185</v>
      </c>
      <c r="E28" s="23">
        <f>E24+SUM(E26:E27)</f>
        <v>-192890</v>
      </c>
      <c r="F28" s="23">
        <f>F24+SUM(F26:F27)</f>
        <v>49662</v>
      </c>
      <c r="G28" s="23">
        <f>G24+SUM(G26:G27)</f>
        <v>395552</v>
      </c>
    </row>
    <row r="29" spans="2:8">
      <c r="B29" s="10"/>
      <c r="C29" s="10"/>
      <c r="D29" s="10"/>
      <c r="E29" s="10"/>
      <c r="F29" s="10"/>
      <c r="G29" s="10"/>
      <c r="H29" s="10"/>
    </row>
    <row r="30" spans="2:8">
      <c r="B30" s="10"/>
      <c r="C30" s="10"/>
      <c r="D30" s="10"/>
      <c r="E30" s="10"/>
      <c r="F30" s="10"/>
      <c r="G30" s="10"/>
      <c r="H30" s="10"/>
    </row>
    <row r="31" spans="2:8" ht="15.75" thickBot="1">
      <c r="B31" s="16" t="s">
        <v>50</v>
      </c>
      <c r="C31" s="14">
        <f>C3</f>
        <v>2009</v>
      </c>
      <c r="D31" s="14">
        <f t="shared" ref="D31:G31" si="8">D3</f>
        <v>2010</v>
      </c>
      <c r="E31" s="14">
        <f t="shared" si="8"/>
        <v>2011</v>
      </c>
      <c r="F31" s="14">
        <f t="shared" si="8"/>
        <v>2012</v>
      </c>
      <c r="G31" s="14">
        <f t="shared" si="8"/>
        <v>2013</v>
      </c>
      <c r="H31" s="10"/>
    </row>
    <row r="32" spans="2:8">
      <c r="B32" s="10" t="s">
        <v>51</v>
      </c>
      <c r="C32" s="10">
        <f>SUMIF('Input - Balance Sheet'!$I$10:$I$16,1,'Input - Balance Sheet'!C10:C16)+SUMIF('Input - Balance Sheet'!$I$20:$I$26,1,'Input - Balance Sheet'!C20:C26)-SUMIF('Input - Balance Sheet'!$I$37:$I$43,1,'Input - Balance Sheet'!C37:C43)-SUMIF('Input - Balance Sheet'!$I$47:$I$53,1,'Input - Balance Sheet'!C47:C53)</f>
        <v>813360</v>
      </c>
      <c r="D32" s="10">
        <f>SUMIF('Input - Balance Sheet'!$I$10:$I$16,1,'Input - Balance Sheet'!D10:D16)+SUMIF('Input - Balance Sheet'!$I$20:$I$26,1,'Input - Balance Sheet'!D20:D26)-SUMIF('Input - Balance Sheet'!$I$37:$I$43,1,'Input - Balance Sheet'!D37:D43)-SUMIF('Input - Balance Sheet'!$I$47:$I$53,1,'Input - Balance Sheet'!D47:D53)</f>
        <v>902545</v>
      </c>
      <c r="E32" s="10">
        <f>SUMIF('Input - Balance Sheet'!$I$10:$I$16,1,'Input - Balance Sheet'!E10:E16)+SUMIF('Input - Balance Sheet'!$I$20:$I$26,1,'Input - Balance Sheet'!E20:E26)-SUMIF('Input - Balance Sheet'!$I$37:$I$43,1,'Input - Balance Sheet'!E37:E43)-SUMIF('Input - Balance Sheet'!$I$47:$I$53,1,'Input - Balance Sheet'!E47:E53)</f>
        <v>1140035</v>
      </c>
      <c r="F32" s="10">
        <f>SUMIF('Input - Balance Sheet'!$I$10:$I$16,1,'Input - Balance Sheet'!F10:F16)+SUMIF('Input - Balance Sheet'!$I$20:$I$26,1,'Input - Balance Sheet'!F20:F26)-SUMIF('Input - Balance Sheet'!$I$37:$I$43,1,'Input - Balance Sheet'!F37:F43)-SUMIF('Input - Balance Sheet'!$I$47:$I$53,1,'Input - Balance Sheet'!F47:F53)</f>
        <v>1122873</v>
      </c>
      <c r="G32" s="10">
        <f>SUMIF('Input - Balance Sheet'!$I$10:$I$16,1,'Input - Balance Sheet'!G10:G16)+SUMIF('Input - Balance Sheet'!$I$20:$I$26,1,'Input - Balance Sheet'!G20:G26)-SUMIF('Input - Balance Sheet'!$I$37:$I$43,1,'Input - Balance Sheet'!G37:G43)-SUMIF('Input - Balance Sheet'!$I$47:$I$53,1,'Input - Balance Sheet'!G47:G53)</f>
        <v>774821</v>
      </c>
      <c r="H32" s="10"/>
    </row>
    <row r="33" spans="2:8">
      <c r="B33" s="10" t="s">
        <v>52</v>
      </c>
      <c r="C33" s="10"/>
      <c r="D33" s="10"/>
      <c r="E33" s="10"/>
      <c r="F33" s="10"/>
      <c r="G33" s="10"/>
      <c r="H33" s="10"/>
    </row>
    <row r="34" spans="2:8">
      <c r="B34" s="10" t="s">
        <v>53</v>
      </c>
      <c r="C34" s="10">
        <f>SUM(SUMIFS('Input - Balance Sheet'!C10:C16,'Input - Balance Sheet'!$I$10:$I$16,"=1",'Input - Balance Sheet'!$J$10:$J$16,"&lt;&gt;1"),SUMIFS('Input - Balance Sheet'!C20:C26,'Input - Balance Sheet'!$I$20:$I$26,"=1",'Input - Balance Sheet'!$J$20:$J$26,"&lt;&gt;1"),-SUMIFS('Input - Balance Sheet'!C37:C43,'Input - Balance Sheet'!$I$37:$I$43,"=1",'Input - Balance Sheet'!$J$37:$J$43,"&lt;&gt;1"))</f>
        <v>628438</v>
      </c>
      <c r="D34" s="10">
        <f>SUM(SUMIFS('Input - Balance Sheet'!D10:D16,'Input - Balance Sheet'!$I$10:$I$16,"=1",'Input - Balance Sheet'!$J$10:$J$16,"&lt;&gt;1"),SUMIFS('Input - Balance Sheet'!D20:D26,'Input - Balance Sheet'!$I$20:$I$26,"=1",'Input - Balance Sheet'!$J$20:$J$26,"&lt;&gt;1"),-SUMIFS('Input - Balance Sheet'!D37:D43,'Input - Balance Sheet'!$I$37:$I$43,"=1",'Input - Balance Sheet'!$J$37:$J$43,"&lt;&gt;1"))</f>
        <v>702632</v>
      </c>
      <c r="E34" s="10">
        <f>SUM(SUMIFS('Input - Balance Sheet'!E10:E16,'Input - Balance Sheet'!$I$10:$I$16,"=1",'Input - Balance Sheet'!$J$10:$J$16,"&lt;&gt;1"),SUMIFS('Input - Balance Sheet'!E20:E26,'Input - Balance Sheet'!$I$20:$I$26,"=1",'Input - Balance Sheet'!$J$20:$J$26,"&lt;&gt;1"),-SUMIFS('Input - Balance Sheet'!E37:E43,'Input - Balance Sheet'!$I$37:$I$43,"=1",'Input - Balance Sheet'!$J$37:$J$43,"&lt;&gt;1"))</f>
        <v>937695</v>
      </c>
      <c r="F34" s="10">
        <f>SUM(SUMIFS('Input - Balance Sheet'!F10:F16,'Input - Balance Sheet'!$I$10:$I$16,"=1",'Input - Balance Sheet'!$J$10:$J$16,"&lt;&gt;1"),SUMIFS('Input - Balance Sheet'!F20:F26,'Input - Balance Sheet'!$I$20:$I$26,"=1",'Input - Balance Sheet'!$J$20:$J$26,"&lt;&gt;1"),-SUMIFS('Input - Balance Sheet'!F37:F43,'Input - Balance Sheet'!$I$37:$I$43,"=1",'Input - Balance Sheet'!$J$37:$J$43,"&lt;&gt;1"))</f>
        <v>916843</v>
      </c>
      <c r="G34" s="10">
        <f>SUM(SUMIFS('Input - Balance Sheet'!G10:G16,'Input - Balance Sheet'!$I$10:$I$16,"=1",'Input - Balance Sheet'!$J$10:$J$16,"&lt;&gt;1"),SUMIFS('Input - Balance Sheet'!G20:G26,'Input - Balance Sheet'!$I$20:$I$26,"=1",'Input - Balance Sheet'!$J$20:$J$26,"&lt;&gt;1"),-SUMIFS('Input - Balance Sheet'!G37:G43,'Input - Balance Sheet'!$I$37:$I$43,"=1",'Input - Balance Sheet'!$J$37:$J$43,"&lt;&gt;1"))</f>
        <v>525111</v>
      </c>
      <c r="H34" s="10"/>
    </row>
    <row r="35" spans="2:8">
      <c r="B35" s="10" t="s">
        <v>54</v>
      </c>
      <c r="C35" s="46">
        <f>C54</f>
        <v>184922</v>
      </c>
      <c r="D35" s="46">
        <f t="shared" ref="D35:G35" si="9">D54</f>
        <v>199913</v>
      </c>
      <c r="E35" s="46">
        <f t="shared" si="9"/>
        <v>202340</v>
      </c>
      <c r="F35" s="46">
        <f t="shared" si="9"/>
        <v>206030</v>
      </c>
      <c r="G35" s="46">
        <f t="shared" si="9"/>
        <v>249710</v>
      </c>
    </row>
    <row r="36" spans="2:8" ht="15.75" thickBot="1">
      <c r="B36" s="26" t="s">
        <v>55</v>
      </c>
      <c r="C36" s="26">
        <f>C34+C35</f>
        <v>813360</v>
      </c>
      <c r="D36" s="26">
        <f t="shared" ref="D36:G36" si="10">D34+D35</f>
        <v>902545</v>
      </c>
      <c r="E36" s="26">
        <f t="shared" si="10"/>
        <v>1140035</v>
      </c>
      <c r="F36" s="26">
        <f t="shared" si="10"/>
        <v>1122873</v>
      </c>
      <c r="G36" s="26">
        <f t="shared" si="10"/>
        <v>774821</v>
      </c>
    </row>
    <row r="37" spans="2:8">
      <c r="B37" s="10"/>
      <c r="C37" s="29" t="b">
        <f>C36=C32</f>
        <v>1</v>
      </c>
      <c r="D37" s="29" t="b">
        <f t="shared" ref="D37:G37" si="11">D36=D32</f>
        <v>1</v>
      </c>
      <c r="E37" s="29" t="b">
        <f t="shared" si="11"/>
        <v>1</v>
      </c>
      <c r="F37" s="29" t="b">
        <f t="shared" si="11"/>
        <v>1</v>
      </c>
      <c r="G37" s="29" t="b">
        <f t="shared" si="11"/>
        <v>1</v>
      </c>
    </row>
    <row r="38" spans="2:8">
      <c r="B38" s="10"/>
      <c r="C38" s="47"/>
      <c r="D38" s="47"/>
      <c r="E38" s="47"/>
      <c r="F38" s="47"/>
      <c r="G38" s="47"/>
    </row>
    <row r="39" spans="2:8">
      <c r="B39" s="10" t="s">
        <v>38</v>
      </c>
      <c r="C39" s="10">
        <f>C15</f>
        <v>70000</v>
      </c>
      <c r="D39" s="10">
        <f t="shared" ref="D39:G39" si="12">D15</f>
        <v>80000</v>
      </c>
      <c r="E39" s="10">
        <f t="shared" si="12"/>
        <v>85000</v>
      </c>
      <c r="F39" s="10">
        <f t="shared" si="12"/>
        <v>70000</v>
      </c>
      <c r="G39" s="10">
        <f t="shared" si="12"/>
        <v>90000</v>
      </c>
    </row>
    <row r="40" spans="2:8">
      <c r="B40" s="10" t="s">
        <v>44</v>
      </c>
      <c r="C40" s="10">
        <f>C21</f>
        <v>51800</v>
      </c>
      <c r="D40" s="10">
        <f t="shared" ref="D40:G40" si="13">D21</f>
        <v>60000</v>
      </c>
      <c r="E40" s="10">
        <f t="shared" si="13"/>
        <v>64600</v>
      </c>
      <c r="F40" s="10">
        <f t="shared" si="13"/>
        <v>52500</v>
      </c>
      <c r="G40" s="10">
        <f t="shared" si="13"/>
        <v>67500</v>
      </c>
    </row>
    <row r="42" spans="2:8">
      <c r="B42" s="30" t="s">
        <v>56</v>
      </c>
      <c r="C42" s="30"/>
      <c r="D42" s="48">
        <f>D39/C$32</f>
        <v>9.8357430903904794E-2</v>
      </c>
      <c r="E42" s="48">
        <f t="shared" ref="E42:G42" si="14">E39/D$32</f>
        <v>9.4178129622345702E-2</v>
      </c>
      <c r="F42" s="48">
        <f t="shared" si="14"/>
        <v>6.14016236343621E-2</v>
      </c>
      <c r="G42" s="48">
        <f t="shared" si="14"/>
        <v>8.0151539844666317E-2</v>
      </c>
    </row>
    <row r="43" spans="2:8">
      <c r="B43" s="30" t="s">
        <v>57</v>
      </c>
      <c r="C43" s="30"/>
      <c r="D43" s="48">
        <f>D40/C$32</f>
        <v>7.3768073177928592E-2</v>
      </c>
      <c r="E43" s="48">
        <f t="shared" ref="E43:G43" si="15">E40/D$32</f>
        <v>7.1575378512982735E-2</v>
      </c>
      <c r="F43" s="48">
        <f t="shared" si="15"/>
        <v>4.605121772577158E-2</v>
      </c>
      <c r="G43" s="48">
        <f t="shared" si="15"/>
        <v>6.0113654883499734E-2</v>
      </c>
    </row>
    <row r="45" spans="2:8">
      <c r="B45" s="30" t="s">
        <v>58</v>
      </c>
      <c r="C45" s="10"/>
      <c r="D45" s="10"/>
      <c r="E45" s="10"/>
      <c r="F45" s="10"/>
      <c r="G45" s="10"/>
    </row>
    <row r="46" spans="2:8">
      <c r="B46" s="10" t="s">
        <v>87</v>
      </c>
      <c r="C46" s="10"/>
      <c r="D46" s="49">
        <f>D65</f>
        <v>0.5</v>
      </c>
      <c r="E46" s="49">
        <f t="shared" ref="E46:G46" si="16">E65</f>
        <v>0.51515151515151514</v>
      </c>
      <c r="F46" s="49">
        <f t="shared" si="16"/>
        <v>0.46666666666666667</v>
      </c>
      <c r="G46" s="49">
        <f t="shared" si="16"/>
        <v>0.52941176470588236</v>
      </c>
    </row>
    <row r="47" spans="2:8">
      <c r="B47" s="10" t="s">
        <v>59</v>
      </c>
      <c r="C47" s="10"/>
      <c r="D47" s="49">
        <f>'Input - Income Statement'!D8/'Output - Analysis'!C$32</f>
        <v>0.19671486180780959</v>
      </c>
      <c r="E47" s="49">
        <f>'Input - Income Statement'!E8/'Output - Analysis'!D$32</f>
        <v>0.18281636926690636</v>
      </c>
      <c r="F47" s="49">
        <f>'Input - Income Statement'!F8/'Output - Analysis'!E$32</f>
        <v>0.1315749077879188</v>
      </c>
      <c r="G47" s="49">
        <f>'Input - Income Statement'!G8/'Output - Analysis'!F$32</f>
        <v>0.15139735303992527</v>
      </c>
    </row>
    <row r="48" spans="2:8">
      <c r="B48" s="23" t="s">
        <v>60</v>
      </c>
      <c r="C48" s="23"/>
      <c r="D48" s="50">
        <f>D46*D47</f>
        <v>9.8357430903904794E-2</v>
      </c>
      <c r="E48" s="50">
        <f t="shared" ref="E48:G48" si="17">E46*E47</f>
        <v>9.4178129622345702E-2</v>
      </c>
      <c r="F48" s="50">
        <f t="shared" si="17"/>
        <v>6.1401623634362107E-2</v>
      </c>
      <c r="G48" s="50">
        <f t="shared" si="17"/>
        <v>8.0151539844666317E-2</v>
      </c>
    </row>
    <row r="49" spans="2:7">
      <c r="B49" s="23"/>
      <c r="C49" s="29"/>
      <c r="D49" s="29" t="b">
        <f>D48=D42</f>
        <v>1</v>
      </c>
      <c r="E49" s="29" t="b">
        <f t="shared" ref="E49:G49" si="18">E48=E42</f>
        <v>1</v>
      </c>
      <c r="F49" s="29" t="b">
        <f t="shared" si="18"/>
        <v>1</v>
      </c>
      <c r="G49" s="29" t="b">
        <f t="shared" si="18"/>
        <v>1</v>
      </c>
    </row>
    <row r="50" spans="2:7">
      <c r="B50" s="10"/>
      <c r="C50" s="10"/>
      <c r="D50" s="51"/>
      <c r="E50" s="51"/>
      <c r="F50" s="51"/>
      <c r="G50" s="51"/>
    </row>
    <row r="51" spans="2:7">
      <c r="B51" s="52" t="s">
        <v>61</v>
      </c>
      <c r="C51" s="53"/>
      <c r="D51" s="54"/>
      <c r="E51" s="54"/>
      <c r="F51" s="54"/>
      <c r="G51" s="54"/>
    </row>
    <row r="52" spans="2:7">
      <c r="B52" s="53" t="s">
        <v>62</v>
      </c>
      <c r="C52" s="53"/>
      <c r="D52" s="55">
        <f>D63</f>
        <v>0.6875</v>
      </c>
      <c r="E52" s="55">
        <f t="shared" ref="E52:G52" si="19">E63</f>
        <v>0.69696969696969702</v>
      </c>
      <c r="F52" s="55">
        <f t="shared" si="19"/>
        <v>0.66666666666666663</v>
      </c>
      <c r="G52" s="55">
        <f t="shared" si="19"/>
        <v>0.70588235294117652</v>
      </c>
    </row>
    <row r="53" spans="2:7">
      <c r="B53" s="53" t="s">
        <v>63</v>
      </c>
      <c r="C53" s="53"/>
      <c r="D53" s="55">
        <f>D63-D65</f>
        <v>0.1875</v>
      </c>
      <c r="E53" s="55">
        <f>E63-E65</f>
        <v>0.18181818181818188</v>
      </c>
      <c r="F53" s="55">
        <f>F63-F65</f>
        <v>0.19999999999999996</v>
      </c>
      <c r="G53" s="55">
        <f>G63-G65</f>
        <v>0.17647058823529416</v>
      </c>
    </row>
    <row r="54" spans="2:7">
      <c r="B54" s="53" t="s">
        <v>64</v>
      </c>
      <c r="C54" s="53">
        <f>(SUMIF('Input - Balance Sheet'!$J$10:$J$16,1,'Input - Balance Sheet'!C10:C16)+SUMIF('Input - Balance Sheet'!$J$20:$J$26,1,'Input - Balance Sheet'!C20:C26)-SUMIF('Input - Balance Sheet'!$J$37:$J$43,1,'Input - Balance Sheet'!C37:C43))</f>
        <v>184922</v>
      </c>
      <c r="D54" s="53">
        <f>(SUMIF('Input - Balance Sheet'!$J$10:$J$16,1,'Input - Balance Sheet'!D10:D16)+SUMIF('Input - Balance Sheet'!$J$20:$J$26,1,'Input - Balance Sheet'!D20:D26)-SUMIF('Input - Balance Sheet'!$J$37:$J$43,1,'Input - Balance Sheet'!D37:D43))</f>
        <v>199913</v>
      </c>
      <c r="E54" s="53">
        <f>(SUMIF('Input - Balance Sheet'!$J$10:$J$16,1,'Input - Balance Sheet'!E10:E16)+SUMIF('Input - Balance Sheet'!$J$20:$J$26,1,'Input - Balance Sheet'!E20:E26)-SUMIF('Input - Balance Sheet'!$J$37:$J$43,1,'Input - Balance Sheet'!E37:E43))</f>
        <v>202340</v>
      </c>
      <c r="F54" s="53">
        <f>(SUMIF('Input - Balance Sheet'!$J$10:$J$16,1,'Input - Balance Sheet'!F10:F16)+SUMIF('Input - Balance Sheet'!$J$20:$J$26,1,'Input - Balance Sheet'!F20:F26)-SUMIF('Input - Balance Sheet'!$J$37:$J$43,1,'Input - Balance Sheet'!F37:F43))</f>
        <v>206030</v>
      </c>
      <c r="G54" s="53">
        <f>(SUMIF('Input - Balance Sheet'!$J$10:$J$16,1,'Input - Balance Sheet'!G10:G16)+SUMIF('Input - Balance Sheet'!$J$20:$J$26,1,'Input - Balance Sheet'!G20:G26)-SUMIF('Input - Balance Sheet'!$J$37:$J$43,1,'Input - Balance Sheet'!G37:G43))</f>
        <v>249710</v>
      </c>
    </row>
    <row r="55" spans="2:7">
      <c r="B55" s="53" t="s">
        <v>65</v>
      </c>
      <c r="C55" s="53">
        <f>C32-C54</f>
        <v>628438</v>
      </c>
      <c r="D55" s="53">
        <f t="shared" ref="D55:G55" si="20">D32-D54</f>
        <v>702632</v>
      </c>
      <c r="E55" s="53">
        <f t="shared" si="20"/>
        <v>937695</v>
      </c>
      <c r="F55" s="53">
        <f t="shared" si="20"/>
        <v>916843</v>
      </c>
      <c r="G55" s="53">
        <f t="shared" si="20"/>
        <v>525111</v>
      </c>
    </row>
    <row r="56" spans="2:7">
      <c r="B56" s="53" t="s">
        <v>66</v>
      </c>
      <c r="C56" s="53"/>
      <c r="D56" s="56">
        <f>C55/'Input - Income Statement'!D8</f>
        <v>3.9277375000000001</v>
      </c>
      <c r="E56" s="56">
        <f>D55/'Input - Income Statement'!E8</f>
        <v>4.2583757575757577</v>
      </c>
      <c r="F56" s="56">
        <f>E55/'Input - Income Statement'!F8</f>
        <v>6.2512999999999996</v>
      </c>
      <c r="G56" s="56">
        <f>F55/'Input - Income Statement'!G8</f>
        <v>5.3931941176470586</v>
      </c>
    </row>
    <row r="57" spans="2:7">
      <c r="B57" s="53" t="s">
        <v>67</v>
      </c>
      <c r="C57" s="53"/>
      <c r="D57" s="54">
        <f>C54/'Input - Income Statement'!D8</f>
        <v>1.1557625</v>
      </c>
      <c r="E57" s="54">
        <f>D54/'Input - Income Statement'!E8</f>
        <v>1.2115939393939394</v>
      </c>
      <c r="F57" s="54">
        <f>E54/'Input - Income Statement'!F8</f>
        <v>1.3489333333333333</v>
      </c>
      <c r="G57" s="54">
        <f>F54/'Input - Income Statement'!G8</f>
        <v>1.2119411764705883</v>
      </c>
    </row>
    <row r="58" spans="2:7">
      <c r="B58" s="57" t="s">
        <v>60</v>
      </c>
      <c r="C58" s="57"/>
      <c r="D58" s="58">
        <f>(D52-D53)*1/(D56+D57)</f>
        <v>9.8357430903904794E-2</v>
      </c>
      <c r="E58" s="58">
        <f t="shared" ref="E58:G58" si="21">(E52-E53)*1/(E56+E57)</f>
        <v>9.4178129622345702E-2</v>
      </c>
      <c r="F58" s="58">
        <f t="shared" si="21"/>
        <v>6.1401623634362107E-2</v>
      </c>
      <c r="G58" s="58">
        <f t="shared" si="21"/>
        <v>8.0151539844666331E-2</v>
      </c>
    </row>
    <row r="59" spans="2:7">
      <c r="B59" s="23"/>
      <c r="C59" s="23"/>
      <c r="D59" s="29" t="b">
        <f>D58=D42</f>
        <v>1</v>
      </c>
      <c r="E59" s="29" t="b">
        <f t="shared" ref="E59:G59" si="22">E58=E42</f>
        <v>1</v>
      </c>
      <c r="F59" s="29" t="b">
        <f t="shared" si="22"/>
        <v>1</v>
      </c>
      <c r="G59" s="29" t="b">
        <f t="shared" si="22"/>
        <v>1</v>
      </c>
    </row>
    <row r="60" spans="2:7">
      <c r="B60" s="59"/>
      <c r="C60" s="59"/>
      <c r="D60" s="47"/>
      <c r="E60" s="47"/>
      <c r="F60" s="47"/>
      <c r="G60" s="47"/>
    </row>
    <row r="61" spans="2:7">
      <c r="B61" s="30"/>
      <c r="C61" s="10"/>
      <c r="D61" s="10"/>
      <c r="E61" s="10"/>
      <c r="F61" s="10"/>
      <c r="G61" s="10"/>
    </row>
    <row r="62" spans="2:7" ht="15.75" thickBot="1">
      <c r="B62" s="16" t="s">
        <v>68</v>
      </c>
      <c r="C62" s="14">
        <v>2009</v>
      </c>
      <c r="D62" s="14">
        <v>2010</v>
      </c>
      <c r="E62" s="14">
        <v>2011</v>
      </c>
      <c r="F62" s="14">
        <v>2012</v>
      </c>
      <c r="G62" s="14">
        <v>2013</v>
      </c>
    </row>
    <row r="63" spans="2:7">
      <c r="B63" s="10" t="s">
        <v>62</v>
      </c>
      <c r="C63" s="49">
        <f>'Input - Income Statement'!C10/'Input - Income Statement'!C8</f>
        <v>0.66666666666666663</v>
      </c>
      <c r="D63" s="49">
        <f>'Input - Income Statement'!D10/'Input - Income Statement'!D8</f>
        <v>0.6875</v>
      </c>
      <c r="E63" s="49">
        <f>'Input - Income Statement'!E10/'Input - Income Statement'!E8</f>
        <v>0.69696969696969702</v>
      </c>
      <c r="F63" s="49">
        <f>'Input - Income Statement'!F10/'Input - Income Statement'!F8</f>
        <v>0.66666666666666663</v>
      </c>
      <c r="G63" s="49">
        <f>'Input - Income Statement'!G10/'Input - Income Statement'!G8</f>
        <v>0.70588235294117652</v>
      </c>
    </row>
    <row r="64" spans="2:7">
      <c r="B64" s="10" t="s">
        <v>69</v>
      </c>
      <c r="C64" s="49">
        <f>C18/C4</f>
        <v>0.53333333333333333</v>
      </c>
      <c r="D64" s="49">
        <f t="shared" ref="D64:G64" si="23">D18/D4</f>
        <v>0.5625</v>
      </c>
      <c r="E64" s="49">
        <f t="shared" si="23"/>
        <v>0.5757575757575758</v>
      </c>
      <c r="F64" s="49">
        <f t="shared" si="23"/>
        <v>0.53333333333333333</v>
      </c>
      <c r="G64" s="49">
        <f t="shared" si="23"/>
        <v>0.58823529411764708</v>
      </c>
    </row>
    <row r="65" spans="2:7">
      <c r="B65" s="10" t="s">
        <v>87</v>
      </c>
      <c r="C65" s="49">
        <f>C15/C4</f>
        <v>0.46666666666666667</v>
      </c>
      <c r="D65" s="49">
        <f t="shared" ref="D65:G65" si="24">D15/D4</f>
        <v>0.5</v>
      </c>
      <c r="E65" s="49">
        <f t="shared" si="24"/>
        <v>0.51515151515151514</v>
      </c>
      <c r="F65" s="49">
        <f t="shared" si="24"/>
        <v>0.46666666666666667</v>
      </c>
      <c r="G65" s="49">
        <f t="shared" si="24"/>
        <v>0.52941176470588236</v>
      </c>
    </row>
    <row r="66" spans="2:7">
      <c r="B66" s="10" t="s">
        <v>88</v>
      </c>
      <c r="C66" s="49">
        <f>C12/C4</f>
        <v>0.46666666666666667</v>
      </c>
      <c r="D66" s="49">
        <f t="shared" ref="D66:G66" si="25">D12/D4</f>
        <v>0.5</v>
      </c>
      <c r="E66" s="49">
        <f t="shared" si="25"/>
        <v>0.51515151515151514</v>
      </c>
      <c r="F66" s="49">
        <f t="shared" si="25"/>
        <v>0.46666666666666667</v>
      </c>
      <c r="G66" s="49">
        <f t="shared" si="25"/>
        <v>0.52941176470588236</v>
      </c>
    </row>
    <row r="67" spans="2:7">
      <c r="B67" s="10" t="s">
        <v>70</v>
      </c>
      <c r="C67" s="49">
        <f>C21/C4</f>
        <v>0.34533333333333333</v>
      </c>
      <c r="D67" s="49">
        <f t="shared" ref="D67:G67" si="26">D21/D4</f>
        <v>0.375</v>
      </c>
      <c r="E67" s="49">
        <f t="shared" si="26"/>
        <v>0.39151515151515154</v>
      </c>
      <c r="F67" s="49">
        <f t="shared" si="26"/>
        <v>0.35</v>
      </c>
      <c r="G67" s="49">
        <f t="shared" si="26"/>
        <v>0.39705882352941174</v>
      </c>
    </row>
    <row r="68" spans="2:7">
      <c r="B68" s="10" t="s">
        <v>71</v>
      </c>
      <c r="C68" s="49">
        <f>'Input - Income Statement'!C28/'Output - Analysis'!C4</f>
        <v>0.42666666666666669</v>
      </c>
      <c r="D68" s="49">
        <f>'Input - Income Statement'!D28/'Output - Analysis'!D4</f>
        <v>0.46250000000000002</v>
      </c>
      <c r="E68" s="49">
        <f>'Input - Income Statement'!E28/'Output - Analysis'!E4</f>
        <v>0.47878787878787876</v>
      </c>
      <c r="F68" s="49">
        <f>'Input - Income Statement'!F28/'Output - Analysis'!F4</f>
        <v>0.42666666666666669</v>
      </c>
      <c r="G68" s="49">
        <f>'Input - Income Statement'!G28/'Output - Analysis'!G4</f>
        <v>0.49411764705882355</v>
      </c>
    </row>
    <row r="69" spans="2:7">
      <c r="B69" s="10"/>
      <c r="C69" s="49"/>
      <c r="D69" s="49"/>
      <c r="E69" s="49"/>
      <c r="F69" s="49"/>
      <c r="G69" s="49"/>
    </row>
    <row r="70" spans="2:7">
      <c r="B70" s="10" t="s">
        <v>216</v>
      </c>
      <c r="C70" s="49">
        <f>(C14+C17)/C55</f>
        <v>1.5912468692217848E-2</v>
      </c>
      <c r="D70" s="49">
        <f t="shared" ref="D70:G70" si="27">(D14+D17)/D55</f>
        <v>1.4232201209167815E-2</v>
      </c>
      <c r="E70" s="49">
        <f t="shared" si="27"/>
        <v>1.0664448461386698E-2</v>
      </c>
      <c r="F70" s="49">
        <f t="shared" si="27"/>
        <v>1.0906992800294052E-2</v>
      </c>
      <c r="G70" s="49">
        <f t="shared" si="27"/>
        <v>1.9043592688022151E-2</v>
      </c>
    </row>
    <row r="71" spans="2:7">
      <c r="B71" s="10" t="s">
        <v>72</v>
      </c>
      <c r="C71" s="49">
        <f>C55/C4</f>
        <v>4.189586666666667</v>
      </c>
      <c r="D71" s="49">
        <f>D55/D4</f>
        <v>4.3914499999999999</v>
      </c>
      <c r="E71" s="49">
        <f>E55/E4</f>
        <v>5.6829999999999998</v>
      </c>
      <c r="F71" s="49">
        <f>F55/F4</f>
        <v>6.1122866666666669</v>
      </c>
      <c r="G71" s="49">
        <f>G55/G4</f>
        <v>3.0888882352941178</v>
      </c>
    </row>
    <row r="72" spans="2:7">
      <c r="B72" s="10"/>
      <c r="C72" s="49"/>
      <c r="D72" s="49"/>
      <c r="E72" s="49"/>
      <c r="F72" s="49"/>
      <c r="G72" s="49"/>
    </row>
    <row r="73" spans="2:7">
      <c r="B73" s="10"/>
      <c r="C73" s="49"/>
      <c r="D73" s="49"/>
      <c r="E73" s="49"/>
      <c r="F73" s="49"/>
      <c r="G73" s="49"/>
    </row>
    <row r="74" spans="2:7" ht="15.75" thickBot="1">
      <c r="B74" s="16" t="s">
        <v>73</v>
      </c>
      <c r="C74" s="14">
        <v>2009</v>
      </c>
      <c r="D74" s="14">
        <v>2010</v>
      </c>
      <c r="E74" s="14">
        <v>2011</v>
      </c>
      <c r="F74" s="14">
        <v>2012</v>
      </c>
      <c r="G74" s="14">
        <v>2013</v>
      </c>
    </row>
    <row r="75" spans="2:7">
      <c r="B75" s="10" t="s">
        <v>74</v>
      </c>
      <c r="C75" s="10"/>
      <c r="D75" s="49">
        <f>D4/C4-1</f>
        <v>6.6666666666666652E-2</v>
      </c>
      <c r="E75" s="49">
        <f>E4/D4-1</f>
        <v>3.125E-2</v>
      </c>
      <c r="F75" s="49">
        <f>F4/E4-1</f>
        <v>-9.0909090909090939E-2</v>
      </c>
      <c r="G75" s="49">
        <f>G4/F4-1</f>
        <v>0.1333333333333333</v>
      </c>
    </row>
    <row r="76" spans="2:7">
      <c r="B76" s="10" t="s">
        <v>75</v>
      </c>
      <c r="C76" s="10"/>
      <c r="D76" s="49">
        <f>D40/C40-1</f>
        <v>0.15830115830115821</v>
      </c>
      <c r="E76" s="49">
        <f>E40/D40-1</f>
        <v>7.6666666666666661E-2</v>
      </c>
      <c r="F76" s="49">
        <f>F40/E40-1</f>
        <v>-0.18730650154798767</v>
      </c>
      <c r="G76" s="49">
        <f>G40/F40-1</f>
        <v>0.28571428571428581</v>
      </c>
    </row>
    <row r="78" spans="2:7">
      <c r="B78" s="52" t="s">
        <v>76</v>
      </c>
      <c r="C78" s="53"/>
      <c r="D78" s="53"/>
      <c r="E78" s="53"/>
      <c r="F78" s="53"/>
      <c r="G78" s="53"/>
    </row>
    <row r="79" spans="2:7">
      <c r="B79" s="53" t="s">
        <v>77</v>
      </c>
      <c r="C79" s="53"/>
      <c r="D79" s="55">
        <f>-SUM(D26:D27,D23)/D21</f>
        <v>1.4864166666666667</v>
      </c>
      <c r="E79" s="55">
        <f>-SUM(E26:E27,E23)/E21</f>
        <v>3.6763157894736844</v>
      </c>
      <c r="F79" s="55">
        <f>-SUM(F26:F27,F23)/F21</f>
        <v>-0.32689523809523807</v>
      </c>
      <c r="G79" s="55">
        <f>-SUM(G26:G27,G23)/G21</f>
        <v>-5.156325925925926</v>
      </c>
    </row>
    <row r="80" spans="2:7">
      <c r="B80" s="53" t="s">
        <v>57</v>
      </c>
      <c r="C80" s="53"/>
      <c r="D80" s="55">
        <f>D43</f>
        <v>7.3768073177928592E-2</v>
      </c>
      <c r="E80" s="55">
        <f>E43</f>
        <v>7.1575378512982735E-2</v>
      </c>
      <c r="F80" s="55">
        <f>F43</f>
        <v>4.605121772577158E-2</v>
      </c>
      <c r="G80" s="55">
        <f>G43</f>
        <v>6.0113654883499734E-2</v>
      </c>
    </row>
    <row r="81" spans="2:7">
      <c r="B81" s="53"/>
      <c r="C81" s="53"/>
      <c r="D81" s="53"/>
      <c r="E81" s="53"/>
      <c r="F81" s="53"/>
      <c r="G81" s="53"/>
    </row>
    <row r="82" spans="2:7">
      <c r="B82" s="53" t="s">
        <v>78</v>
      </c>
      <c r="C82" s="53"/>
      <c r="D82" s="53"/>
      <c r="E82" s="55">
        <f>E80/D80-1</f>
        <v>-2.9724168878005996E-2</v>
      </c>
      <c r="F82" s="55">
        <f>F80/E80-1</f>
        <v>-0.35660532039773207</v>
      </c>
      <c r="G82" s="55">
        <f>G80/F80-1</f>
        <v>0.30536515324020219</v>
      </c>
    </row>
    <row r="83" spans="2:7" ht="15.75" thickBot="1">
      <c r="B83" s="60" t="s">
        <v>79</v>
      </c>
      <c r="C83" s="60"/>
      <c r="D83" s="60"/>
      <c r="E83" s="61">
        <f>(D79*E80)+E82</f>
        <v>7.6666666666666758E-2</v>
      </c>
      <c r="F83" s="61">
        <f>(E79*F80)+F82</f>
        <v>-0.18730650154798759</v>
      </c>
      <c r="G83" s="61">
        <f>(F79*G80)+G82</f>
        <v>0.28571428571428559</v>
      </c>
    </row>
    <row r="84" spans="2:7">
      <c r="B84" s="10"/>
      <c r="C84" s="10"/>
      <c r="D84" s="29"/>
      <c r="E84" s="62" t="b">
        <f>ROUND(E83,2)=ROUND(E76,2)</f>
        <v>1</v>
      </c>
      <c r="F84" s="62" t="b">
        <f>ROUND(F83,2)=ROUND(F76,2)</f>
        <v>1</v>
      </c>
      <c r="G84" s="62" t="b">
        <f>ROUND(G83,2)=ROUND(G76,2)</f>
        <v>1</v>
      </c>
    </row>
    <row r="86" spans="2:7" ht="15.75" thickBot="1">
      <c r="B86" s="16" t="s">
        <v>80</v>
      </c>
      <c r="C86" s="14">
        <v>2009</v>
      </c>
      <c r="D86" s="14">
        <v>2010</v>
      </c>
      <c r="E86" s="14">
        <v>2011</v>
      </c>
      <c r="F86" s="14">
        <v>2012</v>
      </c>
      <c r="G86" s="14">
        <v>2013</v>
      </c>
    </row>
    <row r="87" spans="2:7">
      <c r="B87" s="10" t="s">
        <v>81</v>
      </c>
      <c r="C87" s="10">
        <f>C32</f>
        <v>813360</v>
      </c>
      <c r="D87" s="10">
        <f>D32</f>
        <v>902545</v>
      </c>
      <c r="E87" s="10">
        <f>E32</f>
        <v>1140035</v>
      </c>
      <c r="F87" s="10">
        <f>F32</f>
        <v>1122873</v>
      </c>
      <c r="G87" s="10">
        <f>G32</f>
        <v>774821</v>
      </c>
    </row>
    <row r="88" spans="2:7">
      <c r="B88" s="10" t="s">
        <v>82</v>
      </c>
      <c r="C88" s="10">
        <f>SUMIF('Input - Balance Sheet'!$I$10:$I$16,3,'Input - Balance Sheet'!C10:C16)+SUMIF('Input - Balance Sheet'!$I$20:$I$26,3,'Input - Balance Sheet'!C20:C26)-SUMIF('Input - Balance Sheet'!$I$37:$I$43,3,'Input - Balance Sheet'!C37:C43)-SUMIF('Input - Balance Sheet'!$I$47:$I$53,3,'Input - Balance Sheet'!C47:C53)</f>
        <v>95998</v>
      </c>
      <c r="D88" s="10">
        <f>SUMIF('Input - Balance Sheet'!$I$10:$I$16,3,'Input - Balance Sheet'!D10:D16)+SUMIF('Input - Balance Sheet'!$I$20:$I$26,3,'Input - Balance Sheet'!D20:D26)-SUMIF('Input - Balance Sheet'!$I$37:$I$43,3,'Input - Balance Sheet'!D37:D43)-SUMIF('Input - Balance Sheet'!$I$47:$I$53,3,'Input - Balance Sheet'!D47:D53)</f>
        <v>704099</v>
      </c>
      <c r="E88" s="10">
        <f>SUMIF('Input - Balance Sheet'!$I$10:$I$16,3,'Input - Balance Sheet'!E10:E16)+SUMIF('Input - Balance Sheet'!$I$20:$I$26,3,'Input - Balance Sheet'!E20:E26)-SUMIF('Input - Balance Sheet'!$I$37:$I$43,3,'Input - Balance Sheet'!E37:E43)-SUMIF('Input - Balance Sheet'!$I$47:$I$53,3,'Input - Balance Sheet'!E47:E53)</f>
        <v>19656</v>
      </c>
      <c r="F88" s="10">
        <f>SUMIF('Input - Balance Sheet'!$I$10:$I$16,3,'Input - Balance Sheet'!F10:F16)+SUMIF('Input - Balance Sheet'!$I$20:$I$26,3,'Input - Balance Sheet'!F20:F26)-SUMIF('Input - Balance Sheet'!$I$37:$I$43,3,'Input - Balance Sheet'!F37:F43)-SUMIF('Input - Balance Sheet'!$I$47:$I$53,3,'Input - Balance Sheet'!F47:F53)</f>
        <v>48576</v>
      </c>
      <c r="G88" s="10">
        <f>SUMIF('Input - Balance Sheet'!$I$10:$I$16,3,'Input - Balance Sheet'!G10:G16)+SUMIF('Input - Balance Sheet'!$I$20:$I$26,3,'Input - Balance Sheet'!G20:G26)-SUMIF('Input - Balance Sheet'!$I$37:$I$43,3,'Input - Balance Sheet'!G37:G43)-SUMIF('Input - Balance Sheet'!$I$47:$I$53,3,'Input - Balance Sheet'!G47:G53)</f>
        <v>55999</v>
      </c>
    </row>
    <row r="89" spans="2:7">
      <c r="B89" s="23" t="s">
        <v>55</v>
      </c>
      <c r="C89" s="23">
        <f>C87+C88</f>
        <v>909358</v>
      </c>
      <c r="D89" s="23">
        <f t="shared" ref="D89:G89" si="28">D87+D88</f>
        <v>1606644</v>
      </c>
      <c r="E89" s="23">
        <f t="shared" si="28"/>
        <v>1159691</v>
      </c>
      <c r="F89" s="23">
        <f t="shared" si="28"/>
        <v>1171449</v>
      </c>
      <c r="G89" s="23">
        <f t="shared" si="28"/>
        <v>830820</v>
      </c>
    </row>
    <row r="91" spans="2:7">
      <c r="B91" s="10" t="s">
        <v>83</v>
      </c>
      <c r="C91" s="10">
        <f>-(SUMIF('Input - Balance Sheet'!$I$10:$I$16,2,'Input - Balance Sheet'!C10:C16)+SUMIF('Input - Balance Sheet'!$I$20:$I$26,2,'Input - Balance Sheet'!C20:C26)-SUMIF('Input - Balance Sheet'!$I$37:$I$43,2,'Input - Balance Sheet'!C37:C43)-SUMIF('Input - Balance Sheet'!$I$47:$I$53,2,'Input - Balance Sheet'!C47:C53))</f>
        <v>161805</v>
      </c>
      <c r="D91" s="10">
        <f>-(SUMIF('Input - Balance Sheet'!$I$10:$I$16,2,'Input - Balance Sheet'!D10:D16)+SUMIF('Input - Balance Sheet'!$I$20:$I$26,2,'Input - Balance Sheet'!D20:D26)-SUMIF('Input - Balance Sheet'!$I$37:$I$43,2,'Input - Balance Sheet'!D37:D43)-SUMIF('Input - Balance Sheet'!$I$47:$I$53,2,'Input - Balance Sheet'!D47:D53))</f>
        <v>153822</v>
      </c>
      <c r="E91" s="10">
        <f>-(SUMIF('Input - Balance Sheet'!$I$10:$I$16,2,'Input - Balance Sheet'!E10:E16)+SUMIF('Input - Balance Sheet'!$I$20:$I$26,2,'Input - Balance Sheet'!E20:E26)-SUMIF('Input - Balance Sheet'!$I$37:$I$43,2,'Input - Balance Sheet'!E37:E43)-SUMIF('Input - Balance Sheet'!$I$47:$I$53,2,'Input - Balance Sheet'!E47:E53))</f>
        <v>164900</v>
      </c>
      <c r="F91" s="10">
        <f>-(SUMIF('Input - Balance Sheet'!$I$10:$I$16,2,'Input - Balance Sheet'!F10:F16)+SUMIF('Input - Balance Sheet'!$I$20:$I$26,2,'Input - Balance Sheet'!F20:F26)-SUMIF('Input - Balance Sheet'!$I$37:$I$43,2,'Input - Balance Sheet'!F37:F43)-SUMIF('Input - Balance Sheet'!$I$47:$I$53,2,'Input - Balance Sheet'!F47:F53))</f>
        <v>154780</v>
      </c>
      <c r="G91" s="10">
        <f>-(SUMIF('Input - Balance Sheet'!$I$10:$I$16,2,'Input - Balance Sheet'!G10:G16)+SUMIF('Input - Balance Sheet'!$I$20:$I$26,2,'Input - Balance Sheet'!G20:G26)-SUMIF('Input - Balance Sheet'!$I$37:$I$43,2,'Input - Balance Sheet'!G37:G43)-SUMIF('Input - Balance Sheet'!$I$47:$I$53,2,'Input - Balance Sheet'!G47:G53))</f>
        <v>217936</v>
      </c>
    </row>
    <row r="92" spans="2:7">
      <c r="B92" s="10" t="s">
        <v>84</v>
      </c>
      <c r="C92" s="10">
        <f>C89-C91</f>
        <v>747553</v>
      </c>
      <c r="D92" s="10">
        <f t="shared" ref="D92:G92" si="29">D89-D91</f>
        <v>1452822</v>
      </c>
      <c r="E92" s="10">
        <f t="shared" si="29"/>
        <v>994791</v>
      </c>
      <c r="F92" s="10">
        <f t="shared" si="29"/>
        <v>1016669</v>
      </c>
      <c r="G92" s="10">
        <f t="shared" si="29"/>
        <v>612884</v>
      </c>
    </row>
    <row r="93" spans="2:7">
      <c r="B93" s="23" t="s">
        <v>55</v>
      </c>
      <c r="C93" s="23">
        <f>C91+C92</f>
        <v>909358</v>
      </c>
      <c r="D93" s="23">
        <f t="shared" ref="D93:G93" si="30">D91+D92</f>
        <v>1606644</v>
      </c>
      <c r="E93" s="23">
        <f t="shared" si="30"/>
        <v>1159691</v>
      </c>
      <c r="F93" s="23">
        <f t="shared" si="30"/>
        <v>1171449</v>
      </c>
      <c r="G93" s="23">
        <f t="shared" si="30"/>
        <v>830820</v>
      </c>
    </row>
    <row r="96" spans="2:7">
      <c r="B96" s="10" t="s">
        <v>85</v>
      </c>
      <c r="C96" s="63">
        <f>C91/C89</f>
        <v>0.17793322321901825</v>
      </c>
      <c r="D96" s="63">
        <f t="shared" ref="D96:G96" si="31">D91/D89</f>
        <v>9.5741184730406992E-2</v>
      </c>
      <c r="E96" s="63">
        <f t="shared" si="31"/>
        <v>0.14219304970030811</v>
      </c>
      <c r="F96" s="63">
        <f t="shared" si="31"/>
        <v>0.13212696412733291</v>
      </c>
      <c r="G96" s="63">
        <f t="shared" si="31"/>
        <v>0.26231434004958959</v>
      </c>
    </row>
    <row r="97" spans="2:7">
      <c r="B97" s="10" t="s">
        <v>86</v>
      </c>
      <c r="C97" s="63">
        <f>C91/C92</f>
        <v>0.21644619177503133</v>
      </c>
      <c r="D97" s="63">
        <f t="shared" ref="D97:G97" si="32">D91/D92</f>
        <v>0.10587807728682523</v>
      </c>
      <c r="E97" s="63">
        <f t="shared" si="32"/>
        <v>0.16576346187289592</v>
      </c>
      <c r="F97" s="63">
        <f t="shared" si="32"/>
        <v>0.15224227354232303</v>
      </c>
      <c r="G97" s="63">
        <f t="shared" si="32"/>
        <v>0.35559094380013184</v>
      </c>
    </row>
  </sheetData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'Output - Analysis'!C21:G21</xm:f>
              <xm:sqref>H21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'Output - Analysis'!C6:G6</xm:f>
              <xm:sqref>H6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'Output - Analysis'!C18:G18</xm:f>
              <xm:sqref>H18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'Output - Analysis'!D24:G24</xm:f>
              <xm:sqref>H24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'Output - Analysis'!D28:G28</xm:f>
              <xm:sqref>H28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'Output - Analysis'!D42:G42</xm:f>
              <xm:sqref>H42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'Output - Analysis'!D43:G43</xm:f>
              <xm:sqref>H43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'Output - Analysis'!D52:G52</xm:f>
              <xm:sqref>H52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'Output - Analysis'!D53:G53</xm:f>
              <xm:sqref>H53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'Output - Analysis'!D56:G56</xm:f>
              <xm:sqref>H56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'Output - Analysis'!D57:G57</xm:f>
              <xm:sqref>H57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'Output - Analysis'!C54:G54</xm:f>
              <xm:sqref>H54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'Output - Analysis'!C55:G55</xm:f>
              <xm:sqref>H55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'Output - Analysis'!C63:G63</xm:f>
              <xm:sqref>H63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'Output - Analysis'!C64:G64</xm:f>
              <xm:sqref>H64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'Output - Analysis'!C65:G65</xm:f>
              <xm:sqref>H65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'Output - Analysis'!C66:G66</xm:f>
              <xm:sqref>H66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'Output - Analysis'!C67:G67</xm:f>
              <xm:sqref>H67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'Output - Analysis'!C68:G68</xm:f>
              <xm:sqref>H68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'Output - Analysis'!C70:G70</xm:f>
              <xm:sqref>H70</xm:sqref>
            </x14:sparkline>
            <x14:sparkline>
              <xm:f>'Output - Analysis'!C71:G71</xm:f>
              <xm:sqref>H71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'Output - Analysis'!D75:G75</xm:f>
              <xm:sqref>H75</xm:sqref>
            </x14:sparkline>
            <x14:sparkline>
              <xm:f>'Output - Analysis'!D76:G76</xm:f>
              <xm:sqref>H76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'Output - Analysis'!D79:G79</xm:f>
              <xm:sqref>H79</xm:sqref>
            </x14:sparkline>
            <x14:sparkline>
              <xm:f>'Output - Analysis'!D80:G80</xm:f>
              <xm:sqref>H80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'Output - Analysis'!C96:G96</xm:f>
              <xm:sqref>H96</xm:sqref>
            </x14:sparkline>
            <x14:sparkline>
              <xm:f>'Output - Analysis'!C97:G97</xm:f>
              <xm:sqref>H97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'Output - Analysis'!E82:G82</xm:f>
              <xm:sqref>H82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'Output - Analysis'!E83:G83</xm:f>
              <xm:sqref>H83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96"/>
  <sheetViews>
    <sheetView showGridLines="0" topLeftCell="A58" zoomScale="115" zoomScaleNormal="115" workbookViewId="0">
      <selection activeCell="E58" sqref="E58"/>
    </sheetView>
  </sheetViews>
  <sheetFormatPr defaultRowHeight="15"/>
  <cols>
    <col min="1" max="1" width="2.75" style="11" customWidth="1"/>
    <col min="2" max="2" width="3.25" style="64" bestFit="1" customWidth="1"/>
    <col min="3" max="3" width="50.75" style="11" bestFit="1" customWidth="1"/>
    <col min="4" max="4" width="9" style="11"/>
    <col min="5" max="5" width="10.75" style="11" bestFit="1" customWidth="1"/>
    <col min="6" max="6" width="11.5" style="11" customWidth="1"/>
    <col min="7" max="7" width="15.625" style="11" customWidth="1"/>
    <col min="8" max="8" width="9" style="11"/>
    <col min="9" max="9" width="12.125" style="11" customWidth="1"/>
    <col min="10" max="10" width="10.75" style="11" bestFit="1" customWidth="1"/>
    <col min="11" max="11" width="10" style="11" customWidth="1"/>
    <col min="12" max="12" width="10.75" style="11" bestFit="1" customWidth="1"/>
    <col min="13" max="16384" width="9" style="11"/>
  </cols>
  <sheetData>
    <row r="1" spans="1:21 16383:16384">
      <c r="A1" s="64"/>
      <c r="B1" s="19"/>
      <c r="C1" s="65" t="s">
        <v>89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0"/>
      <c r="S1" s="10"/>
      <c r="T1" s="10"/>
      <c r="U1" s="10"/>
    </row>
    <row r="2" spans="1:21 16383:16384">
      <c r="A2" s="64"/>
      <c r="B2" s="19"/>
      <c r="C2" s="65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0"/>
      <c r="S2" s="10"/>
      <c r="T2" s="10"/>
      <c r="U2" s="10"/>
    </row>
    <row r="3" spans="1:21 16383:16384">
      <c r="A3" s="64"/>
      <c r="B3" s="19"/>
      <c r="C3" s="10" t="s">
        <v>1</v>
      </c>
      <c r="D3" s="12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0"/>
      <c r="S3" s="10"/>
      <c r="T3" s="10"/>
      <c r="U3" s="10"/>
    </row>
    <row r="4" spans="1:21 16383:16384">
      <c r="A4" s="64"/>
      <c r="B4" s="19"/>
      <c r="C4" s="65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0"/>
      <c r="S4" s="10"/>
      <c r="T4" s="10"/>
      <c r="U4" s="10"/>
    </row>
    <row r="5" spans="1:21 16383:16384">
      <c r="A5" s="64"/>
      <c r="B5" s="19"/>
      <c r="C5" s="66" t="s">
        <v>90</v>
      </c>
      <c r="D5" s="67" t="s">
        <v>91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0"/>
      <c r="S5" s="10"/>
      <c r="T5" s="10"/>
      <c r="U5" s="10"/>
    </row>
    <row r="6" spans="1:21 16383:16384">
      <c r="A6" s="64"/>
      <c r="B6" s="19"/>
      <c r="C6" s="68" t="s">
        <v>92</v>
      </c>
      <c r="D6" s="69" t="s">
        <v>93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0"/>
      <c r="S6" s="10"/>
      <c r="T6" s="10"/>
      <c r="U6" s="10"/>
    </row>
    <row r="7" spans="1:21 16383:16384">
      <c r="B7" s="19"/>
      <c r="C7" s="70" t="s">
        <v>94</v>
      </c>
      <c r="D7" s="71" t="s">
        <v>95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1 16383:16384">
      <c r="B8" s="19"/>
      <c r="C8" s="70" t="s">
        <v>220</v>
      </c>
      <c r="D8" s="72" t="s">
        <v>221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XFC8" s="73" t="s">
        <v>221</v>
      </c>
      <c r="XFD8" s="73" t="s">
        <v>222</v>
      </c>
    </row>
    <row r="9" spans="1:21 16383:16384">
      <c r="B9" s="19"/>
      <c r="C9" s="7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1 16383:16384">
      <c r="B10" s="19"/>
      <c r="C10" s="74" t="str">
        <f>C67</f>
        <v>Weighted average cost of capital, rounded</v>
      </c>
      <c r="D10" s="75">
        <f>F67</f>
        <v>0.11</v>
      </c>
      <c r="E10" s="76"/>
      <c r="F10" s="76"/>
      <c r="G10" s="76"/>
      <c r="H10" s="76"/>
      <c r="I10" s="76"/>
      <c r="J10" s="76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</row>
    <row r="12" spans="1:21 16383:16384" ht="37.5" thickBot="1">
      <c r="B12" s="19"/>
      <c r="C12" s="16" t="s">
        <v>97</v>
      </c>
      <c r="D12" s="16" t="s">
        <v>98</v>
      </c>
      <c r="E12" s="16" t="s">
        <v>99</v>
      </c>
      <c r="F12" s="16" t="s">
        <v>100</v>
      </c>
      <c r="G12" s="16" t="s">
        <v>101</v>
      </c>
      <c r="H12" s="16" t="s">
        <v>177</v>
      </c>
      <c r="I12" s="16" t="s">
        <v>178</v>
      </c>
      <c r="J12" s="16" t="s">
        <v>179</v>
      </c>
      <c r="K12" s="16" t="s">
        <v>102</v>
      </c>
      <c r="L12" s="16" t="s">
        <v>103</v>
      </c>
      <c r="N12" s="19"/>
      <c r="O12" s="32"/>
      <c r="P12" s="78"/>
      <c r="Q12" s="78"/>
      <c r="R12" s="19"/>
      <c r="S12" s="19"/>
      <c r="T12" s="19"/>
      <c r="U12" s="19"/>
    </row>
    <row r="13" spans="1:21 16383:16384">
      <c r="B13" s="19"/>
      <c r="C13" s="79" t="s">
        <v>104</v>
      </c>
      <c r="D13" s="80" t="s">
        <v>105</v>
      </c>
      <c r="E13" s="81">
        <v>41547</v>
      </c>
      <c r="F13" s="82">
        <v>0</v>
      </c>
      <c r="G13" s="82">
        <v>23599912.5</v>
      </c>
      <c r="H13" s="82">
        <v>0</v>
      </c>
      <c r="I13" s="82">
        <v>0</v>
      </c>
      <c r="J13" s="83">
        <f>SUM(F13:I13)</f>
        <v>23599912.5</v>
      </c>
      <c r="K13" s="82">
        <v>8231460.5700000003</v>
      </c>
      <c r="L13" s="82">
        <v>21006374.16</v>
      </c>
      <c r="N13" s="19"/>
      <c r="O13" s="32"/>
      <c r="P13" s="32"/>
      <c r="Q13" s="32"/>
      <c r="R13" s="19"/>
      <c r="S13" s="19"/>
      <c r="T13" s="19"/>
      <c r="U13" s="19"/>
    </row>
    <row r="14" spans="1:21 16383:16384">
      <c r="B14" s="19"/>
      <c r="C14" s="79" t="s">
        <v>106</v>
      </c>
      <c r="D14" s="80" t="s">
        <v>107</v>
      </c>
      <c r="E14" s="81">
        <v>41547</v>
      </c>
      <c r="F14" s="82">
        <v>0</v>
      </c>
      <c r="G14" s="82">
        <v>220656502.5</v>
      </c>
      <c r="H14" s="82">
        <v>0</v>
      </c>
      <c r="I14" s="82">
        <v>0</v>
      </c>
      <c r="J14" s="83">
        <f t="shared" ref="J14:J21" si="0">SUM(F14:I14)</f>
        <v>220656502.5</v>
      </c>
      <c r="K14" s="82">
        <v>41197016.960000001</v>
      </c>
      <c r="L14" s="82">
        <v>190000000</v>
      </c>
      <c r="N14" s="19"/>
      <c r="O14" s="32"/>
      <c r="P14" s="32"/>
      <c r="Q14" s="32"/>
      <c r="R14" s="19"/>
      <c r="S14" s="19"/>
      <c r="T14" s="19"/>
      <c r="U14" s="19"/>
    </row>
    <row r="15" spans="1:21 16383:16384">
      <c r="B15" s="19"/>
      <c r="C15" s="79" t="s">
        <v>108</v>
      </c>
      <c r="D15" s="80" t="s">
        <v>107</v>
      </c>
      <c r="E15" s="81">
        <v>41547</v>
      </c>
      <c r="F15" s="82">
        <v>0</v>
      </c>
      <c r="G15" s="82">
        <v>1738143408</v>
      </c>
      <c r="H15" s="82">
        <v>0</v>
      </c>
      <c r="I15" s="82">
        <v>0</v>
      </c>
      <c r="J15" s="83">
        <f t="shared" si="0"/>
        <v>1738143408</v>
      </c>
      <c r="K15" s="82">
        <v>616470000</v>
      </c>
      <c r="L15" s="82">
        <v>5738584000</v>
      </c>
      <c r="N15" s="19"/>
      <c r="O15" s="32"/>
      <c r="P15" s="32"/>
      <c r="Q15" s="32"/>
      <c r="R15" s="19"/>
      <c r="S15" s="19"/>
      <c r="T15" s="19"/>
      <c r="U15" s="19"/>
    </row>
    <row r="16" spans="1:21 16383:16384">
      <c r="B16" s="19"/>
      <c r="C16" s="79" t="s">
        <v>109</v>
      </c>
      <c r="D16" s="80" t="s">
        <v>110</v>
      </c>
      <c r="E16" s="81">
        <v>41274</v>
      </c>
      <c r="F16" s="82">
        <v>0</v>
      </c>
      <c r="G16" s="82">
        <v>34383603.5</v>
      </c>
      <c r="H16" s="82">
        <v>0</v>
      </c>
      <c r="I16" s="82">
        <v>0</v>
      </c>
      <c r="J16" s="83">
        <f t="shared" si="0"/>
        <v>34383603.5</v>
      </c>
      <c r="K16" s="82">
        <v>22495638</v>
      </c>
      <c r="L16" s="82">
        <v>17697000</v>
      </c>
      <c r="N16" s="19"/>
      <c r="O16" s="32"/>
      <c r="P16" s="32"/>
      <c r="Q16" s="32"/>
      <c r="R16" s="19"/>
      <c r="S16" s="19"/>
      <c r="T16" s="19"/>
      <c r="U16" s="19"/>
    </row>
    <row r="17" spans="2:21">
      <c r="B17" s="19"/>
      <c r="C17" s="79" t="s">
        <v>111</v>
      </c>
      <c r="D17" s="80" t="s">
        <v>110</v>
      </c>
      <c r="E17" s="81">
        <v>41274</v>
      </c>
      <c r="F17" s="82">
        <v>0</v>
      </c>
      <c r="G17" s="82">
        <v>63243926.199999996</v>
      </c>
      <c r="H17" s="82">
        <v>0</v>
      </c>
      <c r="I17" s="82">
        <v>0</v>
      </c>
      <c r="J17" s="83">
        <f t="shared" si="0"/>
        <v>63243926.199999996</v>
      </c>
      <c r="K17" s="82">
        <v>14073296</v>
      </c>
      <c r="L17" s="82">
        <v>31607212</v>
      </c>
      <c r="N17" s="19"/>
      <c r="O17" s="32"/>
      <c r="P17" s="32"/>
      <c r="Q17" s="32"/>
      <c r="R17" s="19"/>
      <c r="S17" s="19"/>
      <c r="T17" s="19"/>
      <c r="U17" s="19"/>
    </row>
    <row r="18" spans="2:21">
      <c r="B18" s="19"/>
      <c r="C18" s="79" t="s">
        <v>112</v>
      </c>
      <c r="D18" s="80" t="s">
        <v>113</v>
      </c>
      <c r="E18" s="81">
        <v>41537</v>
      </c>
      <c r="F18" s="82">
        <v>0</v>
      </c>
      <c r="G18" s="82">
        <v>2900429.3472000002</v>
      </c>
      <c r="H18" s="82">
        <v>0</v>
      </c>
      <c r="I18" s="82">
        <v>0</v>
      </c>
      <c r="J18" s="83">
        <f t="shared" si="0"/>
        <v>2900429.3472000002</v>
      </c>
      <c r="K18" s="82">
        <v>1071153.04</v>
      </c>
      <c r="L18" s="82">
        <v>5656527.1200000001</v>
      </c>
      <c r="N18" s="19"/>
      <c r="O18" s="32"/>
      <c r="P18" s="32"/>
      <c r="Q18" s="32"/>
      <c r="R18" s="19"/>
      <c r="S18" s="19"/>
      <c r="T18" s="19"/>
      <c r="U18" s="19"/>
    </row>
    <row r="19" spans="2:21">
      <c r="B19" s="19"/>
      <c r="C19" s="79" t="s">
        <v>114</v>
      </c>
      <c r="D19" s="80" t="s">
        <v>115</v>
      </c>
      <c r="E19" s="81">
        <v>41455</v>
      </c>
      <c r="F19" s="82">
        <v>0</v>
      </c>
      <c r="G19" s="82">
        <v>24374649.035000004</v>
      </c>
      <c r="H19" s="82">
        <v>0</v>
      </c>
      <c r="I19" s="82">
        <v>0</v>
      </c>
      <c r="J19" s="83">
        <f t="shared" si="0"/>
        <v>24374649.035000004</v>
      </c>
      <c r="K19" s="82">
        <v>16294790.49</v>
      </c>
      <c r="L19" s="82">
        <v>26258423.920000002</v>
      </c>
      <c r="N19" s="19"/>
      <c r="O19" s="32"/>
      <c r="P19" s="32"/>
      <c r="Q19" s="32"/>
      <c r="R19" s="19"/>
      <c r="S19" s="19"/>
      <c r="T19" s="19"/>
      <c r="U19" s="19"/>
    </row>
    <row r="20" spans="2:21">
      <c r="B20" s="19"/>
      <c r="C20" s="79" t="s">
        <v>116</v>
      </c>
      <c r="D20" s="80" t="s">
        <v>115</v>
      </c>
      <c r="E20" s="81">
        <v>41455</v>
      </c>
      <c r="F20" s="82">
        <v>6608793.1267785458</v>
      </c>
      <c r="G20" s="82">
        <v>56742781.363034844</v>
      </c>
      <c r="H20" s="82">
        <v>0</v>
      </c>
      <c r="I20" s="82">
        <v>0</v>
      </c>
      <c r="J20" s="83">
        <f t="shared" si="0"/>
        <v>63351574.489813387</v>
      </c>
      <c r="K20" s="82">
        <v>9272250.8090656977</v>
      </c>
      <c r="L20" s="82">
        <v>25676622.573243372</v>
      </c>
      <c r="N20" s="19"/>
      <c r="O20" s="32"/>
      <c r="P20" s="32"/>
      <c r="Q20" s="32"/>
      <c r="R20" s="19"/>
      <c r="S20" s="19"/>
      <c r="T20" s="19"/>
      <c r="U20" s="19"/>
    </row>
    <row r="21" spans="2:21">
      <c r="B21" s="19"/>
      <c r="C21" s="79" t="s">
        <v>117</v>
      </c>
      <c r="D21" s="80" t="s">
        <v>110</v>
      </c>
      <c r="E21" s="81">
        <v>41274</v>
      </c>
      <c r="F21" s="82">
        <v>0</v>
      </c>
      <c r="G21" s="82">
        <v>39321046.350000001</v>
      </c>
      <c r="H21" s="82">
        <v>0</v>
      </c>
      <c r="I21" s="82">
        <v>0</v>
      </c>
      <c r="J21" s="83">
        <f t="shared" si="0"/>
        <v>39321046.350000001</v>
      </c>
      <c r="K21" s="82">
        <v>7046297</v>
      </c>
      <c r="L21" s="82">
        <v>53989165</v>
      </c>
      <c r="N21" s="19"/>
      <c r="O21" s="32"/>
      <c r="P21" s="32"/>
      <c r="Q21" s="32"/>
      <c r="R21" s="19"/>
      <c r="S21" s="19"/>
      <c r="T21" s="19"/>
      <c r="U21" s="19"/>
    </row>
    <row r="22" spans="2:21">
      <c r="B22" s="1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32"/>
      <c r="O22" s="32"/>
      <c r="P22" s="32"/>
      <c r="Q22" s="32"/>
      <c r="R22" s="32"/>
      <c r="S22" s="19"/>
      <c r="T22" s="19"/>
      <c r="U22" s="19"/>
    </row>
    <row r="23" spans="2:21">
      <c r="N23" s="64"/>
      <c r="O23" s="64"/>
      <c r="P23" s="64"/>
      <c r="Q23" s="64"/>
      <c r="R23" s="64"/>
      <c r="S23" s="64"/>
      <c r="T23" s="64"/>
      <c r="U23" s="64"/>
    </row>
    <row r="24" spans="2:21" ht="25.5" thickBot="1">
      <c r="B24" s="84"/>
      <c r="C24" s="16" t="s">
        <v>97</v>
      </c>
      <c r="D24" s="16" t="s">
        <v>118</v>
      </c>
      <c r="E24" s="16" t="s">
        <v>83</v>
      </c>
      <c r="F24" s="16" t="s">
        <v>179</v>
      </c>
      <c r="G24" s="16" t="s">
        <v>119</v>
      </c>
      <c r="H24" s="16" t="s">
        <v>120</v>
      </c>
      <c r="I24" s="16" t="s">
        <v>121</v>
      </c>
      <c r="J24" s="16" t="s">
        <v>122</v>
      </c>
      <c r="K24" s="16" t="s">
        <v>123</v>
      </c>
      <c r="L24" s="16" t="s">
        <v>124</v>
      </c>
      <c r="N24" s="84"/>
      <c r="O24" s="85"/>
      <c r="P24" s="84"/>
      <c r="Q24" s="84"/>
      <c r="R24" s="84"/>
      <c r="S24" s="84"/>
      <c r="T24" s="84"/>
      <c r="U24" s="84"/>
    </row>
    <row r="25" spans="2:21">
      <c r="B25" s="19"/>
      <c r="C25" s="86" t="str">
        <f>C13</f>
        <v>Company 1</v>
      </c>
      <c r="D25" s="79" t="s">
        <v>125</v>
      </c>
      <c r="E25" s="87">
        <f t="shared" ref="E25:E33" si="1">IF($D$8="YES",L13-K13,MAX(0,L13-K13))</f>
        <v>12774913.59</v>
      </c>
      <c r="F25" s="87">
        <f>J13</f>
        <v>23599912.5</v>
      </c>
      <c r="G25" s="87">
        <f>F25+E25</f>
        <v>36374826.090000004</v>
      </c>
      <c r="H25" s="88">
        <f>E25/F25</f>
        <v>0.54131190486405401</v>
      </c>
      <c r="I25" s="89">
        <f>E25/G25</f>
        <v>0.35120205271612331</v>
      </c>
      <c r="J25" s="90">
        <v>1.724</v>
      </c>
      <c r="K25" s="91">
        <f>J25/(1+(H25))</f>
        <v>1.1185276611174033</v>
      </c>
      <c r="L25" s="91">
        <f t="shared" ref="L25:L33" si="2">K25*(1+$H$37)</f>
        <v>2.080799850939584</v>
      </c>
      <c r="N25" s="19"/>
      <c r="O25" s="92"/>
      <c r="P25" s="93"/>
      <c r="Q25" s="94"/>
      <c r="R25" s="94"/>
      <c r="S25" s="19"/>
      <c r="T25" s="19"/>
      <c r="U25" s="19"/>
    </row>
    <row r="26" spans="2:21">
      <c r="B26" s="19"/>
      <c r="C26" s="86" t="str">
        <f t="shared" ref="C26:C33" si="3">C14</f>
        <v>Company 2</v>
      </c>
      <c r="D26" s="79" t="s">
        <v>126</v>
      </c>
      <c r="E26" s="87">
        <f t="shared" si="1"/>
        <v>148802983.03999999</v>
      </c>
      <c r="F26" s="87">
        <f t="shared" ref="F26:F33" si="4">J14</f>
        <v>220656502.5</v>
      </c>
      <c r="G26" s="87">
        <f t="shared" ref="G26:G33" si="5">F26+E26</f>
        <v>369459485.53999996</v>
      </c>
      <c r="H26" s="88">
        <f t="shared" ref="H26:H33" si="6">E26/F26</f>
        <v>0.67436482203827186</v>
      </c>
      <c r="I26" s="89">
        <f t="shared" ref="I26:I33" si="7">E26/G26</f>
        <v>0.40275859428134686</v>
      </c>
      <c r="J26" s="90">
        <v>1.33</v>
      </c>
      <c r="K26" s="91">
        <f t="shared" ref="K26:K33" si="8">J26/(1+(H26))</f>
        <v>0.79433106960580868</v>
      </c>
      <c r="L26" s="91">
        <f t="shared" si="2"/>
        <v>1.4776961077397623</v>
      </c>
      <c r="N26" s="19"/>
      <c r="O26" s="95"/>
      <c r="P26" s="93"/>
      <c r="Q26" s="94"/>
      <c r="R26" s="94"/>
      <c r="S26" s="19"/>
      <c r="T26" s="96"/>
      <c r="U26" s="19"/>
    </row>
    <row r="27" spans="2:21">
      <c r="B27" s="19"/>
      <c r="C27" s="86" t="str">
        <f t="shared" si="3"/>
        <v>Company 3</v>
      </c>
      <c r="D27" s="79" t="s">
        <v>127</v>
      </c>
      <c r="E27" s="87">
        <f t="shared" si="1"/>
        <v>5122114000</v>
      </c>
      <c r="F27" s="87">
        <f t="shared" si="4"/>
        <v>1738143408</v>
      </c>
      <c r="G27" s="87">
        <f t="shared" si="5"/>
        <v>6860257408</v>
      </c>
      <c r="H27" s="88">
        <f t="shared" si="6"/>
        <v>2.9468880280101719</v>
      </c>
      <c r="I27" s="89">
        <f t="shared" si="7"/>
        <v>0.74663583235621933</v>
      </c>
      <c r="J27" s="90">
        <v>0.82499999999999996</v>
      </c>
      <c r="K27" s="91">
        <f t="shared" si="8"/>
        <v>0.20902543830611903</v>
      </c>
      <c r="L27" s="91">
        <f t="shared" si="2"/>
        <v>0.38885055416103947</v>
      </c>
      <c r="N27" s="19"/>
      <c r="O27" s="95"/>
      <c r="P27" s="93"/>
      <c r="Q27" s="94"/>
      <c r="R27" s="94"/>
      <c r="S27" s="19"/>
      <c r="T27" s="96"/>
      <c r="U27" s="19"/>
    </row>
    <row r="28" spans="2:21">
      <c r="B28" s="19"/>
      <c r="C28" s="86" t="str">
        <f t="shared" si="3"/>
        <v>Company 4</v>
      </c>
      <c r="D28" s="79" t="s">
        <v>128</v>
      </c>
      <c r="E28" s="87">
        <f t="shared" si="1"/>
        <v>-4798638</v>
      </c>
      <c r="F28" s="87">
        <f t="shared" si="4"/>
        <v>34383603.5</v>
      </c>
      <c r="G28" s="87">
        <f t="shared" si="5"/>
        <v>29584965.5</v>
      </c>
      <c r="H28" s="88">
        <f t="shared" si="6"/>
        <v>-0.13956181178043192</v>
      </c>
      <c r="I28" s="89">
        <f t="shared" si="7"/>
        <v>-0.16219853290009753</v>
      </c>
      <c r="J28" s="90">
        <v>1.0289999999999999</v>
      </c>
      <c r="K28" s="91">
        <f t="shared" si="8"/>
        <v>1.1959022903542003</v>
      </c>
      <c r="L28" s="91">
        <f t="shared" si="2"/>
        <v>2.2247400703719702</v>
      </c>
      <c r="N28" s="19"/>
      <c r="O28" s="95"/>
      <c r="P28" s="93"/>
      <c r="Q28" s="94"/>
      <c r="R28" s="94"/>
      <c r="S28" s="19"/>
      <c r="T28" s="96"/>
      <c r="U28" s="19"/>
    </row>
    <row r="29" spans="2:21">
      <c r="B29" s="19"/>
      <c r="C29" s="86" t="str">
        <f t="shared" si="3"/>
        <v>Company 5</v>
      </c>
      <c r="D29" s="79" t="s">
        <v>129</v>
      </c>
      <c r="E29" s="87">
        <f t="shared" si="1"/>
        <v>17533916</v>
      </c>
      <c r="F29" s="87">
        <f t="shared" si="4"/>
        <v>63243926.199999996</v>
      </c>
      <c r="G29" s="87">
        <f t="shared" si="5"/>
        <v>80777842.199999988</v>
      </c>
      <c r="H29" s="88">
        <f t="shared" si="6"/>
        <v>0.27724268642891436</v>
      </c>
      <c r="I29" s="89">
        <f t="shared" si="7"/>
        <v>0.21706343624019214</v>
      </c>
      <c r="J29" s="90">
        <v>1.2210000000000001</v>
      </c>
      <c r="K29" s="91">
        <f t="shared" si="8"/>
        <v>0.95596554435072545</v>
      </c>
      <c r="L29" s="91">
        <f t="shared" si="2"/>
        <v>1.7783851319342376</v>
      </c>
      <c r="N29" s="19"/>
      <c r="O29" s="95"/>
      <c r="P29" s="93"/>
      <c r="Q29" s="94"/>
      <c r="R29" s="94"/>
      <c r="S29" s="19"/>
      <c r="T29" s="96"/>
      <c r="U29" s="19"/>
    </row>
    <row r="30" spans="2:21">
      <c r="B30" s="19"/>
      <c r="C30" s="86" t="str">
        <f t="shared" si="3"/>
        <v>Company 6</v>
      </c>
      <c r="D30" s="79" t="s">
        <v>130</v>
      </c>
      <c r="E30" s="87">
        <f t="shared" si="1"/>
        <v>4585374.08</v>
      </c>
      <c r="F30" s="87">
        <f t="shared" si="4"/>
        <v>2900429.3472000002</v>
      </c>
      <c r="G30" s="87">
        <f t="shared" si="5"/>
        <v>7485803.4272000007</v>
      </c>
      <c r="H30" s="88">
        <f t="shared" si="6"/>
        <v>1.580929418062399</v>
      </c>
      <c r="I30" s="89">
        <f t="shared" si="7"/>
        <v>0.61254267822994646</v>
      </c>
      <c r="J30" s="90">
        <v>1.024</v>
      </c>
      <c r="K30" s="91">
        <f t="shared" si="8"/>
        <v>0.39675629749253483</v>
      </c>
      <c r="L30" s="91">
        <f t="shared" si="2"/>
        <v>0.73808674866124191</v>
      </c>
      <c r="N30" s="19"/>
      <c r="O30" s="95"/>
      <c r="P30" s="93"/>
      <c r="Q30" s="94"/>
      <c r="R30" s="94"/>
      <c r="S30" s="19"/>
      <c r="T30" s="96"/>
      <c r="U30" s="19"/>
    </row>
    <row r="31" spans="2:21">
      <c r="B31" s="19"/>
      <c r="C31" s="86" t="str">
        <f t="shared" si="3"/>
        <v>Company 7</v>
      </c>
      <c r="D31" s="79" t="s">
        <v>131</v>
      </c>
      <c r="E31" s="87">
        <f t="shared" si="1"/>
        <v>9963633.4300000016</v>
      </c>
      <c r="F31" s="87">
        <f t="shared" si="4"/>
        <v>24374649.035000004</v>
      </c>
      <c r="G31" s="87">
        <f t="shared" si="5"/>
        <v>34338282.465000004</v>
      </c>
      <c r="H31" s="88">
        <f t="shared" si="6"/>
        <v>0.40877033411611541</v>
      </c>
      <c r="I31" s="89">
        <f t="shared" si="7"/>
        <v>0.29016108887087289</v>
      </c>
      <c r="J31" s="90">
        <v>0.90900000000000003</v>
      </c>
      <c r="K31" s="91">
        <f t="shared" si="8"/>
        <v>0.64524357021637668</v>
      </c>
      <c r="L31" s="91">
        <f t="shared" si="2"/>
        <v>1.2003482536897554</v>
      </c>
      <c r="N31" s="19"/>
      <c r="O31" s="95"/>
      <c r="P31" s="93"/>
      <c r="Q31" s="94"/>
      <c r="R31" s="94"/>
      <c r="S31" s="19"/>
      <c r="T31" s="96"/>
      <c r="U31" s="19"/>
    </row>
    <row r="32" spans="2:21">
      <c r="B32" s="19"/>
      <c r="C32" s="86" t="str">
        <f t="shared" si="3"/>
        <v>Company 8</v>
      </c>
      <c r="D32" s="79" t="s">
        <v>132</v>
      </c>
      <c r="E32" s="87">
        <f t="shared" si="1"/>
        <v>16404371.764177674</v>
      </c>
      <c r="F32" s="87">
        <f t="shared" si="4"/>
        <v>63351574.489813387</v>
      </c>
      <c r="G32" s="87">
        <f t="shared" si="5"/>
        <v>79755946.253991067</v>
      </c>
      <c r="H32" s="88">
        <f t="shared" ref="H32" si="9">E32/F32</f>
        <v>0.25894181630506141</v>
      </c>
      <c r="I32" s="89">
        <f t="shared" ref="I32" si="10">E32/G32</f>
        <v>0.20568211568747807</v>
      </c>
      <c r="J32" s="90">
        <v>0.75</v>
      </c>
      <c r="K32" s="91">
        <f t="shared" ref="K32" si="11">J32/(1+(H32))</f>
        <v>0.59573841323439147</v>
      </c>
      <c r="L32" s="91">
        <f t="shared" si="2"/>
        <v>1.1082536843288611</v>
      </c>
      <c r="N32" s="19"/>
      <c r="O32" s="95"/>
      <c r="P32" s="93"/>
      <c r="Q32" s="94"/>
      <c r="R32" s="94"/>
      <c r="S32" s="19"/>
      <c r="T32" s="96"/>
      <c r="U32" s="19"/>
    </row>
    <row r="33" spans="2:21">
      <c r="B33" s="19"/>
      <c r="C33" s="86" t="str">
        <f t="shared" si="3"/>
        <v>Company 9</v>
      </c>
      <c r="D33" s="79" t="s">
        <v>176</v>
      </c>
      <c r="E33" s="87">
        <f t="shared" si="1"/>
        <v>46942868</v>
      </c>
      <c r="F33" s="87">
        <f t="shared" si="4"/>
        <v>39321046.350000001</v>
      </c>
      <c r="G33" s="87">
        <f t="shared" si="5"/>
        <v>86263914.349999994</v>
      </c>
      <c r="H33" s="88">
        <f t="shared" si="6"/>
        <v>1.1938356772644734</v>
      </c>
      <c r="I33" s="89">
        <f t="shared" si="7"/>
        <v>0.54417734638771353</v>
      </c>
      <c r="J33" s="90">
        <v>1.143</v>
      </c>
      <c r="K33" s="91">
        <f t="shared" si="8"/>
        <v>0.52100529307884347</v>
      </c>
      <c r="L33" s="91">
        <f t="shared" si="2"/>
        <v>0.96922747095424866</v>
      </c>
      <c r="N33" s="19"/>
      <c r="O33" s="95"/>
      <c r="P33" s="93"/>
      <c r="Q33" s="94"/>
      <c r="R33" s="94"/>
      <c r="S33" s="19"/>
      <c r="T33" s="96"/>
      <c r="U33" s="19"/>
    </row>
    <row r="34" spans="2:21">
      <c r="B34" s="19"/>
      <c r="C34" s="97" t="s">
        <v>133</v>
      </c>
      <c r="D34" s="97"/>
      <c r="E34" s="97"/>
      <c r="F34" s="97"/>
      <c r="G34" s="97"/>
      <c r="H34" s="98">
        <f>AVERAGE(H25:H33)</f>
        <v>0.86030254170100329</v>
      </c>
      <c r="I34" s="98">
        <f>AVERAGE(I25:I33)</f>
        <v>0.35644717909664392</v>
      </c>
      <c r="J34" s="99">
        <f>AVERAGE(J25:J33)</f>
        <v>1.1061111111111113</v>
      </c>
      <c r="K34" s="99">
        <f>AVERAGE(K25:K33)</f>
        <v>0.71472173086182256</v>
      </c>
      <c r="L34" s="99">
        <f>AVERAGE(L25:L33)</f>
        <v>1.3295986525311889</v>
      </c>
      <c r="N34" s="100"/>
      <c r="O34" s="32"/>
      <c r="P34" s="19"/>
      <c r="Q34" s="19"/>
      <c r="R34" s="19"/>
      <c r="S34" s="19"/>
      <c r="T34" s="96"/>
      <c r="U34" s="19"/>
    </row>
    <row r="35" spans="2:21">
      <c r="B35" s="19"/>
      <c r="C35" s="101" t="s">
        <v>134</v>
      </c>
      <c r="D35" s="101"/>
      <c r="E35" s="101"/>
      <c r="F35" s="101"/>
      <c r="G35" s="101"/>
      <c r="H35" s="98">
        <f>MEDIAN(H25:H33)</f>
        <v>0.54131190486405401</v>
      </c>
      <c r="I35" s="98">
        <f>MEDIAN(I25:I33)</f>
        <v>0.35120205271612331</v>
      </c>
      <c r="J35" s="99">
        <f>MEDIAN(J25:J33)</f>
        <v>1.0289999999999999</v>
      </c>
      <c r="K35" s="99">
        <f>MEDIAN(K25:K33)</f>
        <v>0.64524357021637668</v>
      </c>
      <c r="L35" s="99">
        <f>MEDIAN(L25:L33)</f>
        <v>1.2003482536897554</v>
      </c>
      <c r="N35" s="19"/>
      <c r="O35" s="32"/>
      <c r="P35" s="19"/>
      <c r="Q35" s="19"/>
      <c r="R35" s="19"/>
      <c r="S35" s="19"/>
      <c r="T35" s="19"/>
      <c r="U35" s="19"/>
    </row>
    <row r="36" spans="2:21" ht="15.75" thickBot="1">
      <c r="B36" s="19"/>
      <c r="C36" s="10"/>
      <c r="D36" s="10"/>
      <c r="E36" s="10"/>
      <c r="F36" s="10"/>
      <c r="G36" s="10"/>
      <c r="H36" s="102"/>
      <c r="I36" s="10"/>
      <c r="J36" s="10"/>
      <c r="K36" s="10"/>
      <c r="L36" s="10"/>
      <c r="N36" s="19"/>
      <c r="O36" s="32"/>
      <c r="P36" s="19"/>
      <c r="Q36" s="19"/>
      <c r="R36" s="19"/>
      <c r="S36" s="19"/>
      <c r="T36" s="19"/>
      <c r="U36" s="19"/>
    </row>
    <row r="37" spans="2:21" ht="15.75" thickBot="1">
      <c r="B37" s="19"/>
      <c r="C37" s="103" t="s">
        <v>135</v>
      </c>
      <c r="D37" s="103"/>
      <c r="E37" s="103"/>
      <c r="F37" s="103"/>
      <c r="G37" s="103"/>
      <c r="H37" s="104">
        <f>H34</f>
        <v>0.86030254170100329</v>
      </c>
      <c r="I37" s="105">
        <f>I34</f>
        <v>0.35644717909664392</v>
      </c>
      <c r="J37" s="26"/>
      <c r="K37" s="26"/>
      <c r="L37" s="106">
        <f>L34</f>
        <v>1.3295986525311889</v>
      </c>
      <c r="N37" s="19"/>
      <c r="O37" s="19"/>
      <c r="P37" s="19"/>
      <c r="Q37" s="19"/>
      <c r="R37" s="19"/>
      <c r="S37" s="19"/>
      <c r="T37" s="19"/>
      <c r="U37" s="19"/>
    </row>
    <row r="38" spans="2:21">
      <c r="N38" s="64"/>
      <c r="O38" s="64"/>
      <c r="P38" s="64"/>
      <c r="Q38" s="64"/>
      <c r="R38" s="64"/>
      <c r="S38" s="64"/>
      <c r="T38" s="64"/>
      <c r="U38" s="64"/>
    </row>
    <row r="40" spans="2:21"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</row>
    <row r="41" spans="2:21"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</row>
    <row r="42" spans="2:21" ht="15.75" thickBot="1">
      <c r="B42" s="19"/>
      <c r="C42" s="107" t="s">
        <v>136</v>
      </c>
      <c r="D42" s="107"/>
      <c r="E42" s="108">
        <v>41639</v>
      </c>
      <c r="F42" s="107" t="s">
        <v>137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</row>
    <row r="43" spans="2:21">
      <c r="B43" s="19"/>
      <c r="C43" s="96" t="s">
        <v>138</v>
      </c>
      <c r="D43" s="19"/>
      <c r="E43" s="109">
        <v>3.3000000000000002E-2</v>
      </c>
      <c r="F43" s="110"/>
      <c r="G43" s="111"/>
      <c r="H43" s="111"/>
      <c r="I43" s="111"/>
      <c r="J43" s="111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</row>
    <row r="44" spans="2:21">
      <c r="B44" s="19"/>
      <c r="C44" s="96" t="s">
        <v>139</v>
      </c>
      <c r="D44" s="19"/>
      <c r="E44" s="109">
        <v>0.06</v>
      </c>
      <c r="F44" s="112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</row>
    <row r="45" spans="2:21">
      <c r="B45" s="19"/>
      <c r="C45" s="96" t="s">
        <v>140</v>
      </c>
      <c r="D45" s="19"/>
      <c r="E45" s="113">
        <f>L37</f>
        <v>1.3295986525311889</v>
      </c>
      <c r="F45" s="114" t="s">
        <v>141</v>
      </c>
      <c r="G45" s="115"/>
      <c r="H45" s="115"/>
      <c r="I45" s="115"/>
      <c r="J45" s="115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</row>
    <row r="46" spans="2:21">
      <c r="B46" s="19"/>
      <c r="C46" s="96" t="s">
        <v>142</v>
      </c>
      <c r="D46" s="19"/>
      <c r="E46" s="116">
        <f>G78</f>
        <v>3.8100000000000002E-2</v>
      </c>
      <c r="F46" s="114" t="s">
        <v>143</v>
      </c>
      <c r="G46" s="115"/>
      <c r="H46" s="115"/>
      <c r="I46" s="115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</row>
    <row r="47" spans="2:21">
      <c r="B47" s="19"/>
      <c r="C47" s="96" t="s">
        <v>144</v>
      </c>
      <c r="D47" s="19"/>
      <c r="E47" s="96">
        <v>0</v>
      </c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</row>
    <row r="48" spans="2:21">
      <c r="B48" s="19"/>
      <c r="C48" s="96" t="s">
        <v>145</v>
      </c>
      <c r="D48" s="19"/>
      <c r="E48" s="96">
        <v>0</v>
      </c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</row>
    <row r="49" spans="2:21">
      <c r="B49" s="117">
        <v>-4</v>
      </c>
      <c r="C49" s="118" t="s">
        <v>146</v>
      </c>
      <c r="D49" s="118"/>
      <c r="E49" s="119">
        <f>E43+(E44*E45)+E46+E47+E48</f>
        <v>0.15087591915187135</v>
      </c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</row>
    <row r="50" spans="2:21">
      <c r="B50" s="19"/>
      <c r="C50" s="19"/>
      <c r="D50" s="19"/>
      <c r="E50" s="96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</row>
    <row r="51" spans="2:21">
      <c r="B51" s="117">
        <v>-5</v>
      </c>
      <c r="C51" s="118" t="s">
        <v>147</v>
      </c>
      <c r="D51" s="118"/>
      <c r="E51" s="120">
        <v>0.05</v>
      </c>
      <c r="F51" s="121"/>
      <c r="G51" s="121"/>
      <c r="H51" s="121"/>
      <c r="I51" s="121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</row>
    <row r="52" spans="2:21">
      <c r="B52" s="19"/>
      <c r="C52" s="96" t="s">
        <v>148</v>
      </c>
      <c r="D52" s="19"/>
      <c r="E52" s="109">
        <v>0.25</v>
      </c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</row>
    <row r="53" spans="2:21">
      <c r="B53" s="19"/>
      <c r="C53" s="118" t="s">
        <v>149</v>
      </c>
      <c r="D53" s="118"/>
      <c r="E53" s="119">
        <f>E51*(1-E52)</f>
        <v>3.7500000000000006E-2</v>
      </c>
      <c r="F53" s="122"/>
      <c r="G53" s="122"/>
      <c r="H53" s="122"/>
      <c r="I53" s="122"/>
      <c r="J53" s="122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</row>
    <row r="54" spans="2:21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</row>
    <row r="55" spans="2:21">
      <c r="B55" s="19"/>
      <c r="C55" s="96" t="s">
        <v>150</v>
      </c>
      <c r="D55" s="19"/>
      <c r="E55" s="116">
        <f>MAX(0,I37)</f>
        <v>0.35644717909664392</v>
      </c>
      <c r="F55" s="123" t="s">
        <v>151</v>
      </c>
      <c r="G55" s="123"/>
      <c r="H55" s="123"/>
      <c r="I55" s="123"/>
      <c r="J55" s="123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</row>
    <row r="56" spans="2:21">
      <c r="B56" s="19"/>
      <c r="C56" s="96" t="s">
        <v>152</v>
      </c>
      <c r="D56" s="19"/>
      <c r="E56" s="116">
        <f>1-E55</f>
        <v>0.64355282090335608</v>
      </c>
      <c r="F56" s="123" t="s">
        <v>151</v>
      </c>
      <c r="G56" s="123"/>
      <c r="H56" s="123"/>
      <c r="I56" s="123"/>
      <c r="J56" s="123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</row>
    <row r="57" spans="2:21">
      <c r="B57" s="19"/>
      <c r="C57" s="19"/>
      <c r="D57" s="19"/>
      <c r="E57" s="96"/>
      <c r="F57" s="19"/>
      <c r="G57" s="19"/>
      <c r="H57" s="124"/>
      <c r="I57" s="124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</row>
    <row r="58" spans="2:21">
      <c r="B58" s="19"/>
      <c r="C58" s="19"/>
      <c r="D58" s="19"/>
      <c r="E58" s="19"/>
      <c r="F58" s="19"/>
      <c r="G58" s="19"/>
      <c r="H58" s="124"/>
      <c r="I58" s="124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</row>
    <row r="59" spans="2:21">
      <c r="B59" s="19"/>
      <c r="C59" s="19"/>
      <c r="D59" s="19"/>
      <c r="E59" s="19"/>
      <c r="F59" s="19"/>
      <c r="G59" s="19"/>
      <c r="H59" s="124"/>
      <c r="I59" s="124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</row>
    <row r="60" spans="2:21">
      <c r="B60" s="19"/>
      <c r="C60" s="66" t="s">
        <v>153</v>
      </c>
      <c r="D60" s="19"/>
      <c r="E60" s="19"/>
      <c r="F60" s="19"/>
      <c r="G60" s="19"/>
      <c r="H60" s="124"/>
      <c r="I60" s="124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</row>
    <row r="61" spans="2:21">
      <c r="B61" s="19"/>
      <c r="C61" s="78"/>
      <c r="D61" s="19"/>
      <c r="E61" s="19"/>
      <c r="F61" s="19"/>
      <c r="G61" s="19"/>
      <c r="H61" s="124"/>
      <c r="I61" s="124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2:21" ht="25.5" thickBot="1">
      <c r="B62" s="19"/>
      <c r="C62" s="107"/>
      <c r="D62" s="125" t="s">
        <v>154</v>
      </c>
      <c r="E62" s="125" t="s">
        <v>155</v>
      </c>
      <c r="F62" s="125" t="s">
        <v>156</v>
      </c>
      <c r="G62" s="126"/>
      <c r="H62" s="127"/>
      <c r="I62" s="127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2:21">
      <c r="B63" s="19"/>
      <c r="C63" s="96" t="s">
        <v>146</v>
      </c>
      <c r="D63" s="128">
        <f>E49</f>
        <v>0.15087591915187135</v>
      </c>
      <c r="E63" s="128">
        <f>E56</f>
        <v>0.64355282090335608</v>
      </c>
      <c r="F63" s="128">
        <f>E63*D63</f>
        <v>9.7096623376573488E-2</v>
      </c>
      <c r="G63" s="129"/>
      <c r="H63" s="127"/>
      <c r="I63" s="127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2:21">
      <c r="B64" s="19"/>
      <c r="C64" s="96" t="s">
        <v>149</v>
      </c>
      <c r="D64" s="128">
        <f>E53</f>
        <v>3.7500000000000006E-2</v>
      </c>
      <c r="E64" s="128">
        <f>E55</f>
        <v>0.35644717909664392</v>
      </c>
      <c r="F64" s="128">
        <f>E64*D64</f>
        <v>1.3366769216124149E-2</v>
      </c>
      <c r="G64" s="129"/>
      <c r="H64" s="127"/>
      <c r="I64" s="127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</row>
    <row r="65" spans="2:21">
      <c r="B65" s="117">
        <v>-6</v>
      </c>
      <c r="C65" s="118" t="s">
        <v>91</v>
      </c>
      <c r="D65" s="130"/>
      <c r="E65" s="130"/>
      <c r="F65" s="131">
        <f>SUM(F63:F64)</f>
        <v>0.11046339259269763</v>
      </c>
      <c r="G65" s="132"/>
      <c r="H65" s="127"/>
      <c r="I65" s="127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</row>
    <row r="66" spans="2:21">
      <c r="B66" s="19"/>
      <c r="C66" s="19"/>
      <c r="D66" s="133"/>
      <c r="E66" s="133"/>
      <c r="F66" s="133"/>
      <c r="G66" s="129"/>
      <c r="H66" s="127"/>
      <c r="I66" s="127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2:21" ht="15.75" thickBot="1">
      <c r="B67" s="19"/>
      <c r="C67" s="134" t="s">
        <v>96</v>
      </c>
      <c r="D67" s="135"/>
      <c r="E67" s="135"/>
      <c r="F67" s="136">
        <f>ROUND(2*F65,2)/2</f>
        <v>0.11</v>
      </c>
      <c r="G67" s="137"/>
      <c r="H67" s="138"/>
      <c r="I67" s="138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2:21">
      <c r="B68" s="19"/>
      <c r="C68" s="19"/>
      <c r="D68" s="19"/>
      <c r="E68" s="19"/>
      <c r="F68" s="19"/>
      <c r="G68" s="139"/>
      <c r="H68" s="139"/>
      <c r="I68" s="13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2:21"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</row>
    <row r="72" spans="2:21">
      <c r="B72" s="19"/>
      <c r="C72" s="74" t="s">
        <v>157</v>
      </c>
      <c r="D72" s="76"/>
      <c r="E72" s="76"/>
      <c r="F72" s="76"/>
      <c r="G72" s="76"/>
      <c r="H72" s="76"/>
      <c r="I72" s="76"/>
      <c r="J72" s="76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</row>
    <row r="73" spans="2:21"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</row>
    <row r="74" spans="2:21" ht="25.5" thickBot="1">
      <c r="B74" s="19"/>
      <c r="C74" s="107" t="s">
        <v>158</v>
      </c>
      <c r="D74" s="107" t="s">
        <v>159</v>
      </c>
      <c r="E74" s="107"/>
      <c r="F74" s="107" t="s">
        <v>160</v>
      </c>
      <c r="G74" s="107" t="s">
        <v>161</v>
      </c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2:21">
      <c r="B75" s="19"/>
      <c r="C75" s="78"/>
      <c r="D75" s="78"/>
      <c r="E75" s="78"/>
      <c r="F75" s="78"/>
      <c r="G75" s="78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2:21">
      <c r="B76" s="19"/>
      <c r="C76" s="140" t="s">
        <v>162</v>
      </c>
      <c r="D76" s="141">
        <v>1912.24</v>
      </c>
      <c r="E76" s="142" t="s">
        <v>163</v>
      </c>
      <c r="F76" s="141">
        <v>7686.6109999999999</v>
      </c>
      <c r="G76" s="143">
        <v>1.12E-2</v>
      </c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2:21">
      <c r="B77" s="19"/>
      <c r="C77" s="96" t="s">
        <v>164</v>
      </c>
      <c r="D77" s="144">
        <v>514.45899999999995</v>
      </c>
      <c r="E77" s="79" t="s">
        <v>163</v>
      </c>
      <c r="F77" s="144">
        <v>1909.0509999999999</v>
      </c>
      <c r="G77" s="145">
        <v>1.8499999999999999E-2</v>
      </c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2:21">
      <c r="B78" s="19"/>
      <c r="C78" s="146" t="s">
        <v>165</v>
      </c>
      <c r="D78" s="147">
        <v>1.139</v>
      </c>
      <c r="E78" s="148" t="s">
        <v>163</v>
      </c>
      <c r="F78" s="147">
        <v>514.20899999999995</v>
      </c>
      <c r="G78" s="149">
        <v>3.8100000000000002E-2</v>
      </c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</row>
    <row r="79" spans="2:21">
      <c r="B79" s="19"/>
      <c r="C79" s="118"/>
      <c r="D79" s="118"/>
      <c r="E79" s="118"/>
      <c r="F79" s="118"/>
      <c r="G79" s="118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</row>
    <row r="80" spans="2:21" ht="15.75" thickBot="1">
      <c r="B80" s="19"/>
      <c r="C80" s="107" t="s">
        <v>166</v>
      </c>
      <c r="D80" s="107"/>
      <c r="E80" s="107"/>
      <c r="F80" s="107"/>
      <c r="G80" s="107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</row>
    <row r="81" spans="2:21">
      <c r="B81" s="19"/>
      <c r="C81" s="78"/>
      <c r="D81" s="78"/>
      <c r="E81" s="78"/>
      <c r="F81" s="78"/>
      <c r="G81" s="78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</row>
    <row r="82" spans="2:21">
      <c r="B82" s="19"/>
      <c r="C82" s="140" t="s">
        <v>167</v>
      </c>
      <c r="D82" s="141">
        <v>17557.705999999998</v>
      </c>
      <c r="E82" s="142" t="s">
        <v>163</v>
      </c>
      <c r="F82" s="141">
        <v>626550.33400000003</v>
      </c>
      <c r="G82" s="143">
        <v>-3.7000000000000002E-3</v>
      </c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2:21">
      <c r="B83" s="19"/>
      <c r="C83" s="150">
        <v>2</v>
      </c>
      <c r="D83" s="144">
        <v>7747.951</v>
      </c>
      <c r="E83" s="79" t="s">
        <v>163</v>
      </c>
      <c r="F83" s="144">
        <v>17541.302</v>
      </c>
      <c r="G83" s="145">
        <v>7.6E-3</v>
      </c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</row>
    <row r="84" spans="2:21">
      <c r="B84" s="19"/>
      <c r="C84" s="150">
        <v>3</v>
      </c>
      <c r="D84" s="144">
        <v>4250.3599999999997</v>
      </c>
      <c r="E84" s="79" t="s">
        <v>163</v>
      </c>
      <c r="F84" s="144">
        <v>7686.6109999999999</v>
      </c>
      <c r="G84" s="145">
        <v>9.1999999999999998E-3</v>
      </c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</row>
    <row r="85" spans="2:21">
      <c r="B85" s="19"/>
      <c r="C85" s="150">
        <v>4</v>
      </c>
      <c r="D85" s="144">
        <v>2772.8310000000001</v>
      </c>
      <c r="E85" s="79" t="s">
        <v>163</v>
      </c>
      <c r="F85" s="144">
        <v>4227.6679999999997</v>
      </c>
      <c r="G85" s="145">
        <v>1.14E-2</v>
      </c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</row>
    <row r="86" spans="2:21">
      <c r="B86" s="19"/>
      <c r="C86" s="150">
        <v>5</v>
      </c>
      <c r="D86" s="144">
        <v>1912.24</v>
      </c>
      <c r="E86" s="79" t="s">
        <v>163</v>
      </c>
      <c r="F86" s="144">
        <v>2759.3910000000001</v>
      </c>
      <c r="G86" s="145">
        <v>1.7000000000000001E-2</v>
      </c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</row>
    <row r="87" spans="2:21">
      <c r="B87" s="19"/>
      <c r="C87" s="150">
        <v>6</v>
      </c>
      <c r="D87" s="144">
        <v>1346.6189999999999</v>
      </c>
      <c r="E87" s="79" t="s">
        <v>163</v>
      </c>
      <c r="F87" s="144">
        <v>1909.0509999999999</v>
      </c>
      <c r="G87" s="145">
        <v>1.72E-2</v>
      </c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</row>
    <row r="88" spans="2:21">
      <c r="B88" s="19"/>
      <c r="C88" s="150">
        <v>7</v>
      </c>
      <c r="D88" s="144">
        <v>822.077</v>
      </c>
      <c r="E88" s="79" t="s">
        <v>163</v>
      </c>
      <c r="F88" s="144">
        <v>1346.528</v>
      </c>
      <c r="G88" s="145">
        <v>1.7299999999999999E-2</v>
      </c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</row>
    <row r="89" spans="2:21">
      <c r="B89" s="19"/>
      <c r="C89" s="150">
        <v>8</v>
      </c>
      <c r="D89" s="144">
        <v>514.45899999999995</v>
      </c>
      <c r="E89" s="79" t="s">
        <v>163</v>
      </c>
      <c r="F89" s="144">
        <v>818.06500000000005</v>
      </c>
      <c r="G89" s="145">
        <v>2.46E-2</v>
      </c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2:21">
      <c r="B90" s="19"/>
      <c r="C90" s="150">
        <v>9</v>
      </c>
      <c r="D90" s="144">
        <v>254.60400000000001</v>
      </c>
      <c r="E90" s="79" t="s">
        <v>163</v>
      </c>
      <c r="F90" s="144">
        <v>514.20899999999995</v>
      </c>
      <c r="G90" s="145">
        <v>2.7E-2</v>
      </c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2:21">
      <c r="B91" s="19"/>
      <c r="C91" s="150" t="s">
        <v>168</v>
      </c>
      <c r="D91" s="144">
        <v>1.139</v>
      </c>
      <c r="E91" s="79" t="s">
        <v>163</v>
      </c>
      <c r="F91" s="144">
        <v>253.761</v>
      </c>
      <c r="G91" s="145">
        <v>6.0299999999999999E-2</v>
      </c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2:21">
      <c r="B92" s="19"/>
      <c r="C92" s="118"/>
      <c r="D92" s="118"/>
      <c r="E92" s="118"/>
      <c r="F92" s="118"/>
      <c r="G92" s="118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</row>
    <row r="93" spans="2:21" ht="15.75" thickBot="1">
      <c r="B93" s="19"/>
      <c r="C93" s="107" t="s">
        <v>169</v>
      </c>
      <c r="D93" s="107"/>
      <c r="E93" s="107"/>
      <c r="F93" s="107"/>
      <c r="G93" s="107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</row>
    <row r="94" spans="2:21">
      <c r="B94" s="19"/>
      <c r="C94" s="78"/>
      <c r="D94" s="78"/>
      <c r="E94" s="78"/>
      <c r="F94" s="78"/>
      <c r="G94" s="78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</row>
    <row r="95" spans="2:21">
      <c r="B95" s="19"/>
      <c r="C95" s="140" t="s">
        <v>170</v>
      </c>
      <c r="D95" s="151">
        <v>166.154</v>
      </c>
      <c r="E95" s="142" t="s">
        <v>163</v>
      </c>
      <c r="F95" s="151">
        <v>253.761</v>
      </c>
      <c r="G95" s="143">
        <v>4.2299999999999997E-2</v>
      </c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</row>
    <row r="96" spans="2:21">
      <c r="B96" s="19"/>
      <c r="C96" s="140" t="s">
        <v>171</v>
      </c>
      <c r="D96" s="151">
        <v>212.292</v>
      </c>
      <c r="E96" s="142" t="s">
        <v>163</v>
      </c>
      <c r="F96" s="151">
        <v>253.761</v>
      </c>
      <c r="G96" s="143">
        <v>3.6600000000000001E-2</v>
      </c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</row>
    <row r="97" spans="1:23">
      <c r="B97" s="19"/>
      <c r="C97" s="96" t="s">
        <v>172</v>
      </c>
      <c r="D97" s="152">
        <v>166.154</v>
      </c>
      <c r="E97" s="79" t="s">
        <v>163</v>
      </c>
      <c r="F97" s="152">
        <v>212.03100000000001</v>
      </c>
      <c r="G97" s="145">
        <v>4.6600000000000003E-2</v>
      </c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1:23">
      <c r="B98" s="19"/>
      <c r="C98" s="140" t="s">
        <v>173</v>
      </c>
      <c r="D98" s="151">
        <v>1.139</v>
      </c>
      <c r="E98" s="142" t="s">
        <v>163</v>
      </c>
      <c r="F98" s="151">
        <v>165.6</v>
      </c>
      <c r="G98" s="143">
        <v>9.74E-2</v>
      </c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1:23">
      <c r="B99" s="19"/>
      <c r="C99" s="140" t="s">
        <v>174</v>
      </c>
      <c r="D99" s="151">
        <v>96.483000000000004</v>
      </c>
      <c r="E99" s="142" t="s">
        <v>163</v>
      </c>
      <c r="F99" s="151">
        <v>165.6</v>
      </c>
      <c r="G99" s="143">
        <v>8.8999999999999996E-2</v>
      </c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1:23">
      <c r="B100" s="19"/>
      <c r="C100" s="96" t="s">
        <v>175</v>
      </c>
      <c r="D100" s="152">
        <v>1.139</v>
      </c>
      <c r="E100" s="79" t="s">
        <v>163</v>
      </c>
      <c r="F100" s="152">
        <v>96.164000000000001</v>
      </c>
      <c r="G100" s="145">
        <v>0.11650000000000001</v>
      </c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1:23"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</row>
    <row r="103" spans="1:23">
      <c r="B103" s="19"/>
      <c r="C103" s="74" t="s">
        <v>95</v>
      </c>
      <c r="D103" s="76"/>
      <c r="E103" s="76"/>
      <c r="F103" s="76"/>
      <c r="G103" s="76"/>
      <c r="H103" s="76"/>
      <c r="I103" s="76"/>
      <c r="J103" s="76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</row>
    <row r="104" spans="1:23">
      <c r="A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</row>
    <row r="105" spans="1:23">
      <c r="A105" s="64"/>
      <c r="B105" s="153" t="str">
        <f>"("&amp; ROW(C1) &amp;")"</f>
        <v>(1)</v>
      </c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64"/>
      <c r="W105" s="64"/>
    </row>
    <row r="106" spans="1:23">
      <c r="A106" s="64"/>
      <c r="B106" s="153" t="str">
        <f>"("&amp; ROW(C2) &amp;")"</f>
        <v>(2)</v>
      </c>
      <c r="C106" s="19"/>
      <c r="D106" s="154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64"/>
      <c r="W106" s="64"/>
    </row>
    <row r="107" spans="1:23">
      <c r="A107" s="64"/>
      <c r="B107" s="153" t="str">
        <f>"("&amp; ROW(C5) &amp;")"</f>
        <v>(5)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64"/>
      <c r="W107" s="64"/>
    </row>
    <row r="108" spans="1:23">
      <c r="A108" s="64"/>
      <c r="B108" s="153" t="str">
        <f>"("&amp; ROW(C6) &amp;")"</f>
        <v>(6)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64"/>
      <c r="W108" s="64"/>
    </row>
    <row r="109" spans="1:23">
      <c r="A109" s="64"/>
      <c r="B109" s="153" t="str">
        <f>"("&amp; ROW(C7) &amp;")"</f>
        <v>(7)</v>
      </c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64"/>
      <c r="W109" s="64"/>
    </row>
    <row r="110" spans="1:23">
      <c r="A110" s="64"/>
      <c r="B110" s="153" t="str">
        <f>"("&amp; ROW(C9) &amp;")"</f>
        <v>(9)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64"/>
      <c r="W110" s="64"/>
    </row>
    <row r="111" spans="1:23">
      <c r="A111" s="64"/>
      <c r="B111" s="153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64"/>
      <c r="W111" s="64"/>
    </row>
    <row r="112" spans="1:23">
      <c r="A112" s="64"/>
      <c r="B112" s="155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64"/>
      <c r="W112" s="64"/>
    </row>
    <row r="113" spans="1:23">
      <c r="A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</row>
    <row r="114" spans="1:23">
      <c r="A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</row>
    <row r="115" spans="1:23">
      <c r="A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</row>
    <row r="116" spans="1:23">
      <c r="A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</row>
    <row r="117" spans="1:23">
      <c r="A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</row>
    <row r="118" spans="1:23">
      <c r="A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</row>
    <row r="119" spans="1:23">
      <c r="A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</row>
    <row r="120" spans="1:23">
      <c r="A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</row>
    <row r="121" spans="1:23">
      <c r="A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</row>
    <row r="122" spans="1:23">
      <c r="A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</row>
    <row r="123" spans="1:23">
      <c r="A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</row>
    <row r="124" spans="1:23">
      <c r="A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</row>
    <row r="125" spans="1:23">
      <c r="A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</row>
    <row r="126" spans="1:23">
      <c r="A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</row>
    <row r="127" spans="1:23">
      <c r="A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</row>
    <row r="128" spans="1:23">
      <c r="A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</row>
    <row r="129" spans="1:23">
      <c r="A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</row>
    <row r="130" spans="1:23">
      <c r="A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</row>
    <row r="131" spans="1:23">
      <c r="A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</row>
    <row r="132" spans="1:23">
      <c r="A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</row>
    <row r="133" spans="1:23">
      <c r="A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</row>
    <row r="134" spans="1:23">
      <c r="A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</row>
    <row r="135" spans="1:23">
      <c r="A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</row>
    <row r="136" spans="1:23">
      <c r="A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</row>
    <row r="137" spans="1:23">
      <c r="A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</row>
    <row r="138" spans="1:23">
      <c r="A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</row>
    <row r="139" spans="1:23">
      <c r="A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</row>
    <row r="140" spans="1:23">
      <c r="A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</row>
    <row r="141" spans="1:23">
      <c r="A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</row>
    <row r="142" spans="1:23">
      <c r="A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</row>
    <row r="143" spans="1:23">
      <c r="A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</row>
    <row r="144" spans="1:23">
      <c r="A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</row>
    <row r="145" spans="1:23">
      <c r="A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</row>
    <row r="146" spans="1:23">
      <c r="A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</row>
    <row r="147" spans="1:23">
      <c r="A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</row>
    <row r="148" spans="1:23">
      <c r="A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</row>
    <row r="149" spans="1:23">
      <c r="A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</row>
    <row r="150" spans="1:23">
      <c r="A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</row>
    <row r="151" spans="1:23">
      <c r="A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</row>
    <row r="152" spans="1:23">
      <c r="A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</row>
    <row r="153" spans="1:23">
      <c r="A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</row>
    <row r="154" spans="1:23">
      <c r="A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</row>
    <row r="155" spans="1:23">
      <c r="A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</row>
    <row r="156" spans="1:23">
      <c r="A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</row>
    <row r="157" spans="1:23">
      <c r="A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</row>
    <row r="158" spans="1:23">
      <c r="A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</row>
    <row r="159" spans="1:23">
      <c r="A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</row>
    <row r="160" spans="1:23">
      <c r="A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</row>
    <row r="161" spans="1:23">
      <c r="A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</row>
    <row r="162" spans="1:23">
      <c r="A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</row>
    <row r="163" spans="1:23">
      <c r="A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</row>
    <row r="164" spans="1:23">
      <c r="A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</row>
    <row r="165" spans="1:23">
      <c r="A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</row>
    <row r="166" spans="1:23">
      <c r="A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</row>
    <row r="167" spans="1:23">
      <c r="A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</row>
    <row r="168" spans="1:23">
      <c r="A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</row>
    <row r="169" spans="1:23">
      <c r="A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</row>
    <row r="170" spans="1:23">
      <c r="A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</row>
    <row r="171" spans="1:23">
      <c r="A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</row>
    <row r="172" spans="1:23">
      <c r="A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</row>
    <row r="173" spans="1:23">
      <c r="A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</row>
    <row r="174" spans="1:23">
      <c r="A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</row>
    <row r="175" spans="1:23">
      <c r="A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</row>
    <row r="176" spans="1:23">
      <c r="A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</row>
    <row r="177" spans="1:23">
      <c r="A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</row>
    <row r="178" spans="1:23">
      <c r="A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</row>
    <row r="179" spans="1:23">
      <c r="A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</row>
    <row r="180" spans="1:23">
      <c r="A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</row>
    <row r="181" spans="1:23">
      <c r="A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</row>
    <row r="182" spans="1:23">
      <c r="A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</row>
    <row r="183" spans="1:23">
      <c r="A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</row>
    <row r="184" spans="1:23">
      <c r="A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</row>
    <row r="185" spans="1:23">
      <c r="A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</row>
    <row r="186" spans="1:23">
      <c r="A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</row>
    <row r="187" spans="1:23">
      <c r="A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</row>
    <row r="188" spans="1:23">
      <c r="A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</row>
    <row r="189" spans="1:23">
      <c r="A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</row>
    <row r="190" spans="1:23">
      <c r="A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</row>
    <row r="191" spans="1:23">
      <c r="A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</row>
    <row r="192" spans="1:23">
      <c r="A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</row>
    <row r="193" spans="1:23">
      <c r="A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</row>
    <row r="194" spans="1:23">
      <c r="A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</row>
    <row r="195" spans="1:23">
      <c r="A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</row>
    <row r="196" spans="1:23">
      <c r="A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</row>
  </sheetData>
  <dataValidations count="3">
    <dataValidation type="custom" allowBlank="1" showInputMessage="1" showErrorMessage="1" sqref="XFC8">
      <formula1>"""YES"""</formula1>
    </dataValidation>
    <dataValidation type="custom" allowBlank="1" showInputMessage="1" showErrorMessage="1" sqref="XFD8">
      <formula1>"""NO"""</formula1>
    </dataValidation>
    <dataValidation type="list" allowBlank="1" showInputMessage="1" showErrorMessage="1" sqref="D8">
      <formula1>$XFC$8:$XFD$8</formula1>
    </dataValidation>
  </dataValidations>
  <hyperlinks>
    <hyperlink ref="D7" location="WACC!C103" display="Notes"/>
    <hyperlink ref="D5" location="WACC!C10" display="Weighted average cost of capital"/>
    <hyperlink ref="D6" location="WACC!C72" display="Small Stock Premium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5"/>
  <sheetViews>
    <sheetView showGridLines="0" topLeftCell="B5" zoomScale="115" zoomScaleNormal="115" workbookViewId="0">
      <selection activeCell="D13" sqref="D13"/>
    </sheetView>
  </sheetViews>
  <sheetFormatPr defaultRowHeight="15"/>
  <cols>
    <col min="1" max="1" width="2.75" style="11" customWidth="1"/>
    <col min="2" max="2" width="28.875" style="11" bestFit="1" customWidth="1"/>
    <col min="3" max="16384" width="9" style="11"/>
  </cols>
  <sheetData>
    <row r="1" spans="1:21">
      <c r="A1" s="64"/>
      <c r="B1" s="156" t="s">
        <v>180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>
      <c r="A2" s="64"/>
      <c r="B2" s="157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>
      <c r="A3" s="64"/>
      <c r="B3" s="158" t="s">
        <v>181</v>
      </c>
      <c r="C3" s="15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ht="25.5" thickBot="1">
      <c r="A4" s="64"/>
      <c r="B4" s="160"/>
      <c r="C4" s="161" t="s">
        <v>218</v>
      </c>
      <c r="D4" s="161" t="str">
        <f t="shared" ref="D4:I4" si="0">H16</f>
        <v>2014F</v>
      </c>
      <c r="E4" s="161" t="str">
        <f t="shared" si="0"/>
        <v>2015F</v>
      </c>
      <c r="F4" s="161" t="str">
        <f t="shared" si="0"/>
        <v>2016F</v>
      </c>
      <c r="G4" s="161" t="str">
        <f t="shared" si="0"/>
        <v>2017F</v>
      </c>
      <c r="H4" s="161" t="str">
        <f t="shared" si="0"/>
        <v>2018F</v>
      </c>
      <c r="I4" s="161" t="str">
        <f t="shared" si="0"/>
        <v>Terminal year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1:21">
      <c r="A5" s="64"/>
      <c r="B5" s="162" t="s">
        <v>183</v>
      </c>
      <c r="C5" s="163">
        <f>AVERAGE('Output - Analysis'!D75:G75)</f>
        <v>3.5085227272727254E-2</v>
      </c>
      <c r="D5" s="164">
        <v>0.05</v>
      </c>
      <c r="E5" s="164">
        <v>0.06</v>
      </c>
      <c r="F5" s="164">
        <v>7.0000000000000007E-2</v>
      </c>
      <c r="G5" s="164">
        <v>0.05</v>
      </c>
      <c r="H5" s="164">
        <v>0.04</v>
      </c>
      <c r="I5" s="164">
        <v>0.04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>
      <c r="A6" s="64"/>
      <c r="B6" s="162" t="s">
        <v>62</v>
      </c>
      <c r="C6" s="163">
        <f>AVERAGE('Output - Analysis'!C63:G63)</f>
        <v>0.68473707664884131</v>
      </c>
      <c r="D6" s="164">
        <f>C6</f>
        <v>0.68473707664884131</v>
      </c>
      <c r="E6" s="165">
        <f>D6</f>
        <v>0.68473707664884131</v>
      </c>
      <c r="F6" s="165">
        <f t="shared" ref="F6:I6" si="1">E6</f>
        <v>0.68473707664884131</v>
      </c>
      <c r="G6" s="165">
        <f t="shared" si="1"/>
        <v>0.68473707664884131</v>
      </c>
      <c r="H6" s="165">
        <f t="shared" si="1"/>
        <v>0.68473707664884131</v>
      </c>
      <c r="I6" s="165">
        <f t="shared" si="1"/>
        <v>0.68473707664884131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>
      <c r="B7" s="162" t="s">
        <v>69</v>
      </c>
      <c r="C7" s="163">
        <f>AVERAGE('Output - Analysis'!C64:G64)</f>
        <v>0.55863190730837786</v>
      </c>
      <c r="D7" s="164">
        <f>C7</f>
        <v>0.55863190730837786</v>
      </c>
      <c r="E7" s="165">
        <f t="shared" ref="E7:I11" si="2">D7</f>
        <v>0.55863190730837786</v>
      </c>
      <c r="F7" s="165">
        <f t="shared" si="2"/>
        <v>0.55863190730837786</v>
      </c>
      <c r="G7" s="165">
        <f t="shared" si="2"/>
        <v>0.55863190730837786</v>
      </c>
      <c r="H7" s="165">
        <f t="shared" si="2"/>
        <v>0.55863190730837786</v>
      </c>
      <c r="I7" s="165">
        <f t="shared" si="2"/>
        <v>0.55863190730837786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1">
      <c r="B8" s="162" t="s">
        <v>184</v>
      </c>
      <c r="C8" s="166"/>
      <c r="D8" s="164">
        <v>0.2</v>
      </c>
      <c r="E8" s="165">
        <f t="shared" si="2"/>
        <v>0.2</v>
      </c>
      <c r="F8" s="165">
        <f t="shared" si="2"/>
        <v>0.2</v>
      </c>
      <c r="G8" s="165">
        <f t="shared" si="2"/>
        <v>0.2</v>
      </c>
      <c r="H8" s="165">
        <f t="shared" si="2"/>
        <v>0.2</v>
      </c>
      <c r="I8" s="165">
        <f t="shared" si="2"/>
        <v>0.2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>
      <c r="B9" s="162" t="s">
        <v>185</v>
      </c>
      <c r="C9" s="163">
        <f>AVERAGE('Output - Analysis'!C70:G70)</f>
        <v>1.4151940770217714E-2</v>
      </c>
      <c r="D9" s="164">
        <f>C9</f>
        <v>1.4151940770217714E-2</v>
      </c>
      <c r="E9" s="165">
        <f t="shared" si="2"/>
        <v>1.4151940770217714E-2</v>
      </c>
      <c r="F9" s="165">
        <f t="shared" si="2"/>
        <v>1.4151940770217714E-2</v>
      </c>
      <c r="G9" s="165">
        <f t="shared" si="2"/>
        <v>1.4151940770217714E-2</v>
      </c>
      <c r="H9" s="165">
        <f t="shared" si="2"/>
        <v>1.4151940770217714E-2</v>
      </c>
      <c r="I9" s="165">
        <f t="shared" si="2"/>
        <v>1.4151940770217714E-2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1">
      <c r="B10" s="162" t="s">
        <v>72</v>
      </c>
      <c r="C10" s="163">
        <f>AVERAGE('Output - Analysis'!C71:G71)</f>
        <v>4.6930423137254902</v>
      </c>
      <c r="D10" s="164">
        <f>C10</f>
        <v>4.6930423137254902</v>
      </c>
      <c r="E10" s="167">
        <f t="shared" si="2"/>
        <v>4.6930423137254902</v>
      </c>
      <c r="F10" s="167">
        <f t="shared" si="2"/>
        <v>4.6930423137254902</v>
      </c>
      <c r="G10" s="167">
        <f t="shared" si="2"/>
        <v>4.6930423137254902</v>
      </c>
      <c r="H10" s="167">
        <f t="shared" si="2"/>
        <v>4.6930423137254902</v>
      </c>
      <c r="I10" s="167">
        <f t="shared" si="2"/>
        <v>4.6930423137254902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1:21" ht="15.75" thickBot="1">
      <c r="B11" s="162" t="s">
        <v>186</v>
      </c>
      <c r="C11" s="168">
        <f>AVERAGE('Output - Analysis'!D57:G57)</f>
        <v>1.2320577372994652</v>
      </c>
      <c r="D11" s="169">
        <f>C11</f>
        <v>1.2320577372994652</v>
      </c>
      <c r="E11" s="170">
        <f t="shared" si="2"/>
        <v>1.2320577372994652</v>
      </c>
      <c r="F11" s="170">
        <f t="shared" si="2"/>
        <v>1.2320577372994652</v>
      </c>
      <c r="G11" s="170">
        <f t="shared" si="2"/>
        <v>1.2320577372994652</v>
      </c>
      <c r="H11" s="170">
        <f t="shared" si="2"/>
        <v>1.2320577372994652</v>
      </c>
      <c r="I11" s="170">
        <f t="shared" si="2"/>
        <v>1.2320577372994652</v>
      </c>
      <c r="J11" s="171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1">
      <c r="B12" s="162" t="s">
        <v>187</v>
      </c>
      <c r="D12" s="164">
        <v>0.15</v>
      </c>
      <c r="E12" s="172"/>
      <c r="F12" s="172"/>
      <c r="G12" s="172"/>
      <c r="H12" s="172"/>
      <c r="I12" s="172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1:21">
      <c r="B13" s="162" t="s">
        <v>156</v>
      </c>
      <c r="D13" s="163">
        <f>WACC!F67</f>
        <v>0.11</v>
      </c>
      <c r="E13" s="172"/>
      <c r="F13" s="172"/>
      <c r="G13" s="172"/>
      <c r="H13" s="172"/>
      <c r="I13" s="172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1:21">
      <c r="B14" s="162" t="s">
        <v>188</v>
      </c>
      <c r="D14" s="163">
        <f>I5/D12</f>
        <v>0.26666666666666666</v>
      </c>
      <c r="E14" s="172"/>
      <c r="F14" s="172"/>
      <c r="G14" s="172"/>
      <c r="H14" s="172"/>
      <c r="I14" s="172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spans="1:21">
      <c r="B15" s="162"/>
      <c r="C15" s="16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1" ht="25.5" thickBot="1">
      <c r="B16" s="16"/>
      <c r="C16" s="173" t="str">
        <f>'Input - Balance Sheet'!C8&amp;"A"</f>
        <v>2009A</v>
      </c>
      <c r="D16" s="173" t="str">
        <f>'Input - Balance Sheet'!D8&amp;"A"</f>
        <v>2010A</v>
      </c>
      <c r="E16" s="173" t="str">
        <f>'Input - Balance Sheet'!E8&amp;"A"</f>
        <v>2011A</v>
      </c>
      <c r="F16" s="173" t="str">
        <f>'Input - Balance Sheet'!F8&amp;"A"</f>
        <v>2012A</v>
      </c>
      <c r="G16" s="173" t="str">
        <f>'Input - Balance Sheet'!G8&amp;"A"</f>
        <v>2013A</v>
      </c>
      <c r="H16" s="174" t="str">
        <f>LEFT(G16,4)+1&amp;"F"</f>
        <v>2014F</v>
      </c>
      <c r="I16" s="175" t="str">
        <f>LEFT(H16,4)+1&amp;"F"</f>
        <v>2015F</v>
      </c>
      <c r="J16" s="175" t="str">
        <f>LEFT(I16,4)+1&amp;"F"</f>
        <v>2016F</v>
      </c>
      <c r="K16" s="175" t="str">
        <f>LEFT(J16,4)+1&amp;"F"</f>
        <v>2017F</v>
      </c>
      <c r="L16" s="175" t="str">
        <f>LEFT(K16,4)+1&amp;"F"</f>
        <v>2018F</v>
      </c>
      <c r="M16" s="175" t="s">
        <v>182</v>
      </c>
      <c r="N16" s="176"/>
      <c r="O16" s="176"/>
      <c r="P16" s="176"/>
      <c r="Q16" s="176"/>
      <c r="R16" s="176"/>
      <c r="S16" s="176"/>
      <c r="T16" s="176"/>
      <c r="U16" s="176"/>
    </row>
    <row r="17" spans="2:21">
      <c r="B17" s="177" t="str">
        <f>'Input - Income Statement'!B8</f>
        <v>Revenues</v>
      </c>
      <c r="C17" s="178">
        <f>'Input - Income Statement'!C8</f>
        <v>150000</v>
      </c>
      <c r="D17" s="178">
        <f>'Input - Income Statement'!D8</f>
        <v>160000</v>
      </c>
      <c r="E17" s="178">
        <f>'Input - Income Statement'!E8</f>
        <v>165000</v>
      </c>
      <c r="F17" s="178">
        <f>'Input - Income Statement'!F8</f>
        <v>150000</v>
      </c>
      <c r="G17" s="178">
        <f>'Input - Income Statement'!G8</f>
        <v>170000</v>
      </c>
      <c r="H17" s="179">
        <f t="shared" ref="H17:M17" si="3">G17*(1+D5)</f>
        <v>178500</v>
      </c>
      <c r="I17" s="180">
        <f t="shared" si="3"/>
        <v>189210</v>
      </c>
      <c r="J17" s="180">
        <f t="shared" si="3"/>
        <v>202454.7</v>
      </c>
      <c r="K17" s="180">
        <f t="shared" si="3"/>
        <v>212577.43500000003</v>
      </c>
      <c r="L17" s="180">
        <f t="shared" si="3"/>
        <v>221080.53240000003</v>
      </c>
      <c r="M17" s="180">
        <f t="shared" si="3"/>
        <v>229923.75369600003</v>
      </c>
      <c r="N17" s="181"/>
      <c r="O17" s="181"/>
      <c r="P17" s="181"/>
      <c r="Q17" s="181"/>
      <c r="R17" s="181"/>
      <c r="S17" s="181"/>
      <c r="T17" s="181"/>
      <c r="U17" s="181"/>
    </row>
    <row r="18" spans="2:21">
      <c r="B18" s="182" t="str">
        <f>'Input - Income Statement'!B9</f>
        <v>Cost Of Goods</v>
      </c>
      <c r="C18" s="183">
        <f>'Input - Income Statement'!C9</f>
        <v>50000</v>
      </c>
      <c r="D18" s="183">
        <f>'Input - Income Statement'!D9</f>
        <v>50000</v>
      </c>
      <c r="E18" s="183">
        <f>'Input - Income Statement'!E9</f>
        <v>50000</v>
      </c>
      <c r="F18" s="183">
        <f>'Input - Income Statement'!F9</f>
        <v>50000</v>
      </c>
      <c r="G18" s="183">
        <f>'Input - Income Statement'!G9</f>
        <v>50000</v>
      </c>
      <c r="H18" s="184">
        <f t="shared" ref="H18:M18" si="4">H17*(1-D6)</f>
        <v>56274.431818181823</v>
      </c>
      <c r="I18" s="185">
        <f t="shared" si="4"/>
        <v>59650.897727272735</v>
      </c>
      <c r="J18" s="185">
        <f t="shared" si="4"/>
        <v>63826.460568181828</v>
      </c>
      <c r="K18" s="185">
        <f t="shared" si="4"/>
        <v>67017.783596590933</v>
      </c>
      <c r="L18" s="185">
        <f t="shared" si="4"/>
        <v>69698.494940454562</v>
      </c>
      <c r="M18" s="185">
        <f t="shared" si="4"/>
        <v>72486.434738072741</v>
      </c>
      <c r="N18" s="186"/>
      <c r="O18" s="186"/>
      <c r="P18" s="186"/>
      <c r="Q18" s="186"/>
      <c r="R18" s="186"/>
      <c r="S18" s="186"/>
      <c r="T18" s="186"/>
      <c r="U18" s="186"/>
    </row>
    <row r="19" spans="2:21">
      <c r="B19" s="187" t="s">
        <v>189</v>
      </c>
      <c r="C19" s="188">
        <f t="shared" ref="C19:I19" si="5">C17-C18</f>
        <v>100000</v>
      </c>
      <c r="D19" s="188">
        <f t="shared" si="5"/>
        <v>110000</v>
      </c>
      <c r="E19" s="188">
        <f t="shared" si="5"/>
        <v>115000</v>
      </c>
      <c r="F19" s="188">
        <f t="shared" si="5"/>
        <v>100000</v>
      </c>
      <c r="G19" s="188">
        <f t="shared" si="5"/>
        <v>120000</v>
      </c>
      <c r="H19" s="189">
        <f t="shared" si="5"/>
        <v>122225.56818181818</v>
      </c>
      <c r="I19" s="188">
        <f t="shared" si="5"/>
        <v>129559.10227272726</v>
      </c>
      <c r="J19" s="188">
        <f t="shared" ref="J19:M19" si="6">J17-J18</f>
        <v>138628.23943181819</v>
      </c>
      <c r="K19" s="188">
        <f t="shared" si="6"/>
        <v>145559.65140340908</v>
      </c>
      <c r="L19" s="188">
        <f t="shared" si="6"/>
        <v>151382.03745954548</v>
      </c>
      <c r="M19" s="188">
        <f t="shared" si="6"/>
        <v>157437.31895792729</v>
      </c>
      <c r="N19" s="190"/>
      <c r="O19" s="190"/>
      <c r="P19" s="190"/>
      <c r="Q19" s="190"/>
      <c r="R19" s="190"/>
      <c r="S19" s="190"/>
      <c r="T19" s="190"/>
      <c r="U19" s="190"/>
    </row>
    <row r="20" spans="2:21">
      <c r="B20" s="182"/>
      <c r="C20" s="191"/>
      <c r="D20" s="191"/>
      <c r="E20" s="191"/>
      <c r="F20" s="191"/>
      <c r="G20" s="191"/>
      <c r="H20" s="192"/>
      <c r="I20" s="183"/>
      <c r="J20" s="183"/>
      <c r="K20" s="183"/>
      <c r="L20" s="193"/>
      <c r="M20" s="193"/>
      <c r="N20" s="181"/>
      <c r="O20" s="181"/>
      <c r="P20" s="181"/>
      <c r="Q20" s="181"/>
      <c r="R20" s="181"/>
      <c r="S20" s="181"/>
      <c r="T20" s="181"/>
      <c r="U20" s="181"/>
    </row>
    <row r="21" spans="2:21">
      <c r="B21" s="182" t="s">
        <v>190</v>
      </c>
      <c r="C21" s="183">
        <f t="shared" ref="C21:I21" si="7">C19-C22</f>
        <v>20000</v>
      </c>
      <c r="D21" s="183">
        <f t="shared" si="7"/>
        <v>20000</v>
      </c>
      <c r="E21" s="183">
        <f t="shared" si="7"/>
        <v>20000</v>
      </c>
      <c r="F21" s="183">
        <f t="shared" si="7"/>
        <v>20000</v>
      </c>
      <c r="G21" s="183">
        <f t="shared" si="7"/>
        <v>20000</v>
      </c>
      <c r="H21" s="192">
        <f t="shared" si="7"/>
        <v>22509.772727272735</v>
      </c>
      <c r="I21" s="183">
        <f t="shared" si="7"/>
        <v>23860.359090909085</v>
      </c>
      <c r="J21" s="183">
        <f t="shared" ref="J21:M21" si="8">J19-J22</f>
        <v>25530.584227272731</v>
      </c>
      <c r="K21" s="183">
        <f t="shared" si="8"/>
        <v>26807.113438636341</v>
      </c>
      <c r="L21" s="183">
        <f t="shared" si="8"/>
        <v>27879.397976181834</v>
      </c>
      <c r="M21" s="183">
        <f t="shared" si="8"/>
        <v>28994.573895229099</v>
      </c>
      <c r="N21" s="181"/>
      <c r="O21" s="181"/>
      <c r="P21" s="181"/>
      <c r="Q21" s="181"/>
      <c r="R21" s="181"/>
      <c r="S21" s="181"/>
      <c r="T21" s="181"/>
      <c r="U21" s="181"/>
    </row>
    <row r="22" spans="2:21">
      <c r="B22" s="187" t="s">
        <v>32</v>
      </c>
      <c r="C22" s="188">
        <f>'Output - Analysis'!C18</f>
        <v>80000</v>
      </c>
      <c r="D22" s="188">
        <f>'Output - Analysis'!D18</f>
        <v>90000</v>
      </c>
      <c r="E22" s="188">
        <f>'Output - Analysis'!E18</f>
        <v>95000</v>
      </c>
      <c r="F22" s="188">
        <f>'Output - Analysis'!F18</f>
        <v>80000</v>
      </c>
      <c r="G22" s="188">
        <f>'Output - Analysis'!G18</f>
        <v>100000</v>
      </c>
      <c r="H22" s="189">
        <f t="shared" ref="H22:M22" si="9">H17*D7</f>
        <v>99715.795454545441</v>
      </c>
      <c r="I22" s="188">
        <f t="shared" si="9"/>
        <v>105698.74318181818</v>
      </c>
      <c r="J22" s="188">
        <f t="shared" si="9"/>
        <v>113097.65520454546</v>
      </c>
      <c r="K22" s="188">
        <f t="shared" si="9"/>
        <v>118752.53796477274</v>
      </c>
      <c r="L22" s="188">
        <f t="shared" si="9"/>
        <v>123502.63948336364</v>
      </c>
      <c r="M22" s="188">
        <f t="shared" si="9"/>
        <v>128442.74506269819</v>
      </c>
      <c r="N22" s="181"/>
      <c r="O22" s="181"/>
      <c r="P22" s="181"/>
      <c r="Q22" s="181"/>
      <c r="R22" s="181"/>
      <c r="S22" s="181"/>
      <c r="T22" s="181"/>
      <c r="U22" s="181"/>
    </row>
    <row r="23" spans="2:21">
      <c r="B23" s="182"/>
      <c r="C23" s="183"/>
      <c r="D23" s="183"/>
      <c r="E23" s="183"/>
      <c r="F23" s="183"/>
      <c r="G23" s="183"/>
      <c r="H23" s="192"/>
      <c r="I23" s="183"/>
      <c r="J23" s="183"/>
      <c r="K23" s="183"/>
      <c r="L23" s="193"/>
      <c r="M23" s="193"/>
      <c r="N23" s="181"/>
      <c r="O23" s="181"/>
      <c r="P23" s="181"/>
      <c r="Q23" s="181"/>
      <c r="R23" s="181"/>
      <c r="S23" s="181"/>
      <c r="T23" s="181"/>
      <c r="U23" s="181"/>
    </row>
    <row r="24" spans="2:21">
      <c r="B24" s="182" t="str">
        <f>'Input - Income Statement'!B21</f>
        <v>Depreciation expenses</v>
      </c>
      <c r="C24" s="183">
        <f>'Input - Income Statement'!C21</f>
        <v>10000</v>
      </c>
      <c r="D24" s="183">
        <f>'Input - Income Statement'!D21</f>
        <v>10000</v>
      </c>
      <c r="E24" s="183">
        <f>'Input - Income Statement'!E21</f>
        <v>10000</v>
      </c>
      <c r="F24" s="183">
        <f>'Input - Income Statement'!F21</f>
        <v>10000</v>
      </c>
      <c r="G24" s="183">
        <f>'Input - Income Statement'!G21</f>
        <v>10000</v>
      </c>
      <c r="H24" s="192">
        <f>H55</f>
        <v>11855.194748790402</v>
      </c>
      <c r="I24" s="183">
        <f t="shared" ref="I24:M24" si="10">I55</f>
        <v>12566.506433717826</v>
      </c>
      <c r="J24" s="183">
        <f t="shared" si="10"/>
        <v>13446.161884078074</v>
      </c>
      <c r="K24" s="183">
        <f t="shared" si="10"/>
        <v>14118.469978281979</v>
      </c>
      <c r="L24" s="183">
        <f t="shared" si="10"/>
        <v>14683.208777413258</v>
      </c>
      <c r="M24" s="183">
        <f t="shared" si="10"/>
        <v>15270.537128509788</v>
      </c>
      <c r="N24" s="181"/>
      <c r="O24" s="181"/>
      <c r="P24" s="181"/>
      <c r="Q24" s="181"/>
      <c r="R24" s="181"/>
      <c r="S24" s="181"/>
      <c r="T24" s="181"/>
      <c r="U24" s="181"/>
    </row>
    <row r="25" spans="2:21">
      <c r="B25" s="187" t="s">
        <v>38</v>
      </c>
      <c r="C25" s="188">
        <f t="shared" ref="C25:H25" si="11">C22-C24</f>
        <v>70000</v>
      </c>
      <c r="D25" s="188">
        <f t="shared" si="11"/>
        <v>80000</v>
      </c>
      <c r="E25" s="188">
        <f t="shared" si="11"/>
        <v>85000</v>
      </c>
      <c r="F25" s="188">
        <f t="shared" si="11"/>
        <v>70000</v>
      </c>
      <c r="G25" s="188">
        <f t="shared" si="11"/>
        <v>90000</v>
      </c>
      <c r="H25" s="189">
        <f t="shared" si="11"/>
        <v>87860.600705755045</v>
      </c>
      <c r="I25" s="188">
        <f t="shared" ref="I25:M25" si="12">I22-I24</f>
        <v>93132.236748100346</v>
      </c>
      <c r="J25" s="188">
        <f t="shared" si="12"/>
        <v>99651.493320467387</v>
      </c>
      <c r="K25" s="188">
        <f t="shared" si="12"/>
        <v>104634.06798649076</v>
      </c>
      <c r="L25" s="188">
        <f t="shared" si="12"/>
        <v>108819.43070595039</v>
      </c>
      <c r="M25" s="188">
        <f t="shared" si="12"/>
        <v>113172.20793418839</v>
      </c>
      <c r="N25" s="190"/>
      <c r="O25" s="190"/>
      <c r="P25" s="190"/>
      <c r="Q25" s="190"/>
      <c r="R25" s="190"/>
      <c r="S25" s="190"/>
      <c r="T25" s="190"/>
      <c r="U25" s="190"/>
    </row>
    <row r="26" spans="2:21">
      <c r="B26" s="177"/>
      <c r="C26" s="178"/>
      <c r="D26" s="178"/>
      <c r="E26" s="178"/>
      <c r="F26" s="178"/>
      <c r="G26" s="178"/>
      <c r="H26" s="194"/>
      <c r="I26" s="178"/>
      <c r="J26" s="178"/>
      <c r="K26" s="178"/>
      <c r="L26" s="195"/>
      <c r="M26" s="195"/>
      <c r="N26" s="190"/>
      <c r="O26" s="190"/>
      <c r="P26" s="190"/>
      <c r="Q26" s="190"/>
      <c r="R26" s="190"/>
      <c r="S26" s="190"/>
      <c r="T26" s="190"/>
      <c r="U26" s="190"/>
    </row>
    <row r="27" spans="2:21">
      <c r="B27" s="182" t="s">
        <v>43</v>
      </c>
      <c r="C27" s="183">
        <f>'Output - Analysis'!C20</f>
        <v>18200</v>
      </c>
      <c r="D27" s="183">
        <f>'Output - Analysis'!D20</f>
        <v>20000</v>
      </c>
      <c r="E27" s="183">
        <f>'Output - Analysis'!E20</f>
        <v>20400</v>
      </c>
      <c r="F27" s="183">
        <f>'Output - Analysis'!F20</f>
        <v>17500</v>
      </c>
      <c r="G27" s="183">
        <f>'Output - Analysis'!G20</f>
        <v>22500</v>
      </c>
      <c r="H27" s="192">
        <f t="shared" ref="H27:M27" si="13">D8*H25</f>
        <v>17572.120141151008</v>
      </c>
      <c r="I27" s="183">
        <f t="shared" si="13"/>
        <v>18626.44734962007</v>
      </c>
      <c r="J27" s="183">
        <f t="shared" si="13"/>
        <v>19930.29866409348</v>
      </c>
      <c r="K27" s="183">
        <f t="shared" si="13"/>
        <v>20926.813597298154</v>
      </c>
      <c r="L27" s="183">
        <f t="shared" si="13"/>
        <v>21763.88614119008</v>
      </c>
      <c r="M27" s="183">
        <f t="shared" si="13"/>
        <v>22634.441586837682</v>
      </c>
      <c r="N27" s="181"/>
      <c r="O27" s="181"/>
      <c r="P27" s="181"/>
      <c r="Q27" s="181"/>
      <c r="R27" s="181"/>
      <c r="S27" s="181"/>
      <c r="T27" s="181"/>
      <c r="U27" s="181"/>
    </row>
    <row r="28" spans="2:21">
      <c r="B28" s="187" t="s">
        <v>44</v>
      </c>
      <c r="C28" s="188">
        <f>C25-C27</f>
        <v>51800</v>
      </c>
      <c r="D28" s="188">
        <f t="shared" ref="D28:G28" si="14">D25-D27</f>
        <v>60000</v>
      </c>
      <c r="E28" s="188">
        <f t="shared" si="14"/>
        <v>64600</v>
      </c>
      <c r="F28" s="188">
        <f t="shared" si="14"/>
        <v>52500</v>
      </c>
      <c r="G28" s="188">
        <f t="shared" si="14"/>
        <v>67500</v>
      </c>
      <c r="H28" s="189">
        <f t="shared" ref="H28:M28" si="15">H25-H27</f>
        <v>70288.480564604033</v>
      </c>
      <c r="I28" s="188">
        <f t="shared" si="15"/>
        <v>74505.789398480279</v>
      </c>
      <c r="J28" s="188">
        <f t="shared" si="15"/>
        <v>79721.194656373904</v>
      </c>
      <c r="K28" s="188">
        <f t="shared" si="15"/>
        <v>83707.254389192603</v>
      </c>
      <c r="L28" s="188">
        <f t="shared" si="15"/>
        <v>87055.544564760319</v>
      </c>
      <c r="M28" s="188">
        <f t="shared" si="15"/>
        <v>90537.766347350713</v>
      </c>
      <c r="N28" s="190"/>
      <c r="O28" s="190"/>
      <c r="P28" s="190"/>
      <c r="Q28" s="190"/>
      <c r="R28" s="190"/>
      <c r="S28" s="190"/>
      <c r="T28" s="190"/>
      <c r="U28" s="190"/>
    </row>
    <row r="29" spans="2:21">
      <c r="B29" s="182"/>
      <c r="C29" s="183"/>
      <c r="D29" s="183"/>
      <c r="E29" s="183"/>
      <c r="F29" s="183"/>
      <c r="G29" s="183"/>
      <c r="H29" s="192"/>
      <c r="I29" s="183"/>
      <c r="J29" s="183"/>
      <c r="K29" s="183"/>
      <c r="L29" s="193"/>
      <c r="M29" s="193"/>
      <c r="N29" s="181"/>
      <c r="O29" s="181"/>
      <c r="P29" s="181"/>
      <c r="Q29" s="181"/>
      <c r="R29" s="181"/>
      <c r="S29" s="181"/>
      <c r="T29" s="181"/>
      <c r="U29" s="181"/>
    </row>
    <row r="30" spans="2:21">
      <c r="B30" s="182" t="str">
        <f>B24</f>
        <v>Depreciation expenses</v>
      </c>
      <c r="C30" s="196">
        <f>C24</f>
        <v>10000</v>
      </c>
      <c r="D30" s="196">
        <f t="shared" ref="D30:L30" si="16">D24</f>
        <v>10000</v>
      </c>
      <c r="E30" s="196">
        <f t="shared" si="16"/>
        <v>10000</v>
      </c>
      <c r="F30" s="196">
        <f t="shared" si="16"/>
        <v>10000</v>
      </c>
      <c r="G30" s="196">
        <f t="shared" si="16"/>
        <v>10000</v>
      </c>
      <c r="H30" s="197">
        <f t="shared" si="16"/>
        <v>11855.194748790402</v>
      </c>
      <c r="I30" s="196">
        <f t="shared" si="16"/>
        <v>12566.506433717826</v>
      </c>
      <c r="J30" s="196">
        <f t="shared" si="16"/>
        <v>13446.161884078074</v>
      </c>
      <c r="K30" s="196">
        <f t="shared" si="16"/>
        <v>14118.469978281979</v>
      </c>
      <c r="L30" s="196">
        <f t="shared" si="16"/>
        <v>14683.208777413258</v>
      </c>
      <c r="M30" s="274">
        <f>-M28*D14</f>
        <v>-24143.404359293523</v>
      </c>
      <c r="N30" s="181"/>
      <c r="O30" s="181"/>
      <c r="P30" s="181"/>
      <c r="Q30" s="181"/>
      <c r="R30" s="181"/>
      <c r="S30" s="181"/>
      <c r="T30" s="181"/>
      <c r="U30" s="181"/>
    </row>
    <row r="31" spans="2:21">
      <c r="B31" s="182" t="s">
        <v>47</v>
      </c>
      <c r="C31" s="196"/>
      <c r="D31" s="196">
        <f>'Output - Analysis'!D26</f>
        <v>-84194</v>
      </c>
      <c r="E31" s="196">
        <f>'Output - Analysis'!E26</f>
        <v>-245063</v>
      </c>
      <c r="F31" s="196">
        <f>'Output - Analysis'!F26</f>
        <v>10852</v>
      </c>
      <c r="G31" s="196">
        <f>'Output - Analysis'!G26</f>
        <v>381732</v>
      </c>
      <c r="H31" s="197">
        <f>-(H54-G54)-H30</f>
        <v>-324452.24774879037</v>
      </c>
      <c r="I31" s="196">
        <f t="shared" ref="I31:L31" si="17">-(I54-H54)-I30</f>
        <v>-62828.989613717924</v>
      </c>
      <c r="J31" s="196">
        <f t="shared" si="17"/>
        <v>-75604.099416678087</v>
      </c>
      <c r="K31" s="196">
        <f t="shared" si="17"/>
        <v>-61624.893663912066</v>
      </c>
      <c r="L31" s="196">
        <f t="shared" si="17"/>
        <v>-54588.604673342452</v>
      </c>
      <c r="M31" s="274"/>
      <c r="N31" s="181"/>
      <c r="O31" s="181"/>
      <c r="P31" s="181"/>
      <c r="Q31" s="181"/>
      <c r="R31" s="181"/>
      <c r="S31" s="181"/>
      <c r="T31" s="181"/>
      <c r="U31" s="181"/>
    </row>
    <row r="32" spans="2:21">
      <c r="B32" s="182" t="s">
        <v>191</v>
      </c>
      <c r="C32" s="196"/>
      <c r="D32" s="196">
        <f>'Output - Analysis'!D27</f>
        <v>-14991</v>
      </c>
      <c r="E32" s="196">
        <f>'Output - Analysis'!E27</f>
        <v>-2427</v>
      </c>
      <c r="F32" s="196">
        <f>'Output - Analysis'!F27</f>
        <v>-3690</v>
      </c>
      <c r="G32" s="196">
        <f>'Output - Analysis'!G27</f>
        <v>-43680</v>
      </c>
      <c r="H32" s="197">
        <f>-(H56-G56)</f>
        <v>29787.69389204547</v>
      </c>
      <c r="I32" s="196">
        <f t="shared" ref="I32:L32" si="18">-(I56-H56)</f>
        <v>-13195.338366477285</v>
      </c>
      <c r="J32" s="196">
        <f t="shared" si="18"/>
        <v>-16318.235113210249</v>
      </c>
      <c r="K32" s="196">
        <f t="shared" si="18"/>
        <v>-12471.793979382113</v>
      </c>
      <c r="L32" s="196">
        <f t="shared" si="18"/>
        <v>-10476.306942680967</v>
      </c>
      <c r="M32" s="275"/>
      <c r="N32" s="181"/>
      <c r="O32" s="181"/>
      <c r="P32" s="181"/>
      <c r="Q32" s="181"/>
      <c r="R32" s="181"/>
      <c r="S32" s="181"/>
      <c r="T32" s="181"/>
      <c r="U32" s="181"/>
    </row>
    <row r="33" spans="2:13" ht="15.75" thickBot="1">
      <c r="B33" s="198" t="s">
        <v>49</v>
      </c>
      <c r="C33" s="199"/>
      <c r="D33" s="199">
        <f>D28+SUM(D30:D32)</f>
        <v>-29185</v>
      </c>
      <c r="E33" s="199">
        <f t="shared" ref="E33:G33" si="19">E28+SUM(E30:E32)</f>
        <v>-172890</v>
      </c>
      <c r="F33" s="199">
        <f t="shared" si="19"/>
        <v>69662</v>
      </c>
      <c r="G33" s="199">
        <f t="shared" si="19"/>
        <v>415552</v>
      </c>
      <c r="H33" s="200">
        <f>H28+SUM(H30:H32)</f>
        <v>-212520.87854335044</v>
      </c>
      <c r="I33" s="199">
        <f>I28+SUM(I30:I32)</f>
        <v>11047.967852002897</v>
      </c>
      <c r="J33" s="199">
        <f t="shared" ref="J33:L33" si="20">J28+SUM(J30:J32)</f>
        <v>1245.0220105636399</v>
      </c>
      <c r="K33" s="199">
        <f t="shared" si="20"/>
        <v>23729.036724180405</v>
      </c>
      <c r="L33" s="199">
        <f t="shared" si="20"/>
        <v>36673.84172615016</v>
      </c>
      <c r="M33" s="201">
        <f>M28+M30</f>
        <v>66394.361988057193</v>
      </c>
    </row>
    <row r="34" spans="2:13">
      <c r="B34" s="182"/>
      <c r="C34" s="183"/>
      <c r="D34" s="202"/>
      <c r="E34" s="202"/>
      <c r="F34" s="202"/>
      <c r="G34" s="202"/>
      <c r="H34" s="203"/>
      <c r="I34" s="193"/>
      <c r="J34" s="193"/>
      <c r="K34" s="193"/>
      <c r="L34" s="193"/>
      <c r="M34" s="193"/>
    </row>
    <row r="35" spans="2:13" ht="15.75" thickBot="1">
      <c r="B35" s="198" t="s">
        <v>192</v>
      </c>
      <c r="C35" s="204"/>
      <c r="D35" s="205">
        <f>D28/C57</f>
        <v>7.3768073177928592E-2</v>
      </c>
      <c r="E35" s="205">
        <f t="shared" ref="E35:M35" si="21">E28/D57</f>
        <v>7.1575378512982735E-2</v>
      </c>
      <c r="F35" s="205">
        <f t="shared" si="21"/>
        <v>4.605121772577158E-2</v>
      </c>
      <c r="G35" s="205">
        <f t="shared" si="21"/>
        <v>6.0113654883499734E-2</v>
      </c>
      <c r="H35" s="206">
        <f t="shared" si="21"/>
        <v>9.0715766047389054E-2</v>
      </c>
      <c r="I35" s="205">
        <f t="shared" si="21"/>
        <v>7.0445963239294015E-2</v>
      </c>
      <c r="J35" s="205">
        <f t="shared" si="21"/>
        <v>7.1110547798155274E-2</v>
      </c>
      <c r="K35" s="205">
        <f t="shared" si="21"/>
        <v>6.9781378680432743E-2</v>
      </c>
      <c r="L35" s="205">
        <f t="shared" si="21"/>
        <v>6.9116794121571484E-2</v>
      </c>
      <c r="M35" s="205">
        <f t="shared" si="21"/>
        <v>6.911679412157147E-2</v>
      </c>
    </row>
    <row r="36" spans="2:13">
      <c r="B36" s="182"/>
      <c r="C36" s="183"/>
      <c r="D36" s="183"/>
      <c r="E36" s="183"/>
      <c r="F36" s="183"/>
      <c r="G36" s="183"/>
      <c r="H36" s="203"/>
      <c r="I36" s="193"/>
      <c r="J36" s="193"/>
      <c r="K36" s="193"/>
      <c r="L36" s="193"/>
      <c r="M36" s="193"/>
    </row>
    <row r="37" spans="2:13" ht="25.5" thickBot="1">
      <c r="B37" s="16" t="s">
        <v>193</v>
      </c>
      <c r="C37" s="173" t="str">
        <f>C16</f>
        <v>2009A</v>
      </c>
      <c r="D37" s="173" t="str">
        <f t="shared" ref="D37:M37" si="22">D16</f>
        <v>2010A</v>
      </c>
      <c r="E37" s="173" t="str">
        <f t="shared" si="22"/>
        <v>2011A</v>
      </c>
      <c r="F37" s="173" t="str">
        <f t="shared" si="22"/>
        <v>2012A</v>
      </c>
      <c r="G37" s="173" t="str">
        <f t="shared" si="22"/>
        <v>2013A</v>
      </c>
      <c r="H37" s="174" t="str">
        <f t="shared" si="22"/>
        <v>2014F</v>
      </c>
      <c r="I37" s="173" t="str">
        <f t="shared" si="22"/>
        <v>2015F</v>
      </c>
      <c r="J37" s="173" t="str">
        <f t="shared" si="22"/>
        <v>2016F</v>
      </c>
      <c r="K37" s="173" t="str">
        <f t="shared" si="22"/>
        <v>2017F</v>
      </c>
      <c r="L37" s="173" t="str">
        <f t="shared" si="22"/>
        <v>2018F</v>
      </c>
      <c r="M37" s="173" t="str">
        <f t="shared" si="22"/>
        <v>Terminal year</v>
      </c>
    </row>
    <row r="38" spans="2:13">
      <c r="B38" s="182" t="s">
        <v>194</v>
      </c>
      <c r="C38" s="183"/>
      <c r="D38" s="183"/>
      <c r="E38" s="183"/>
      <c r="F38" s="183"/>
      <c r="G38" s="183"/>
      <c r="H38" s="207">
        <v>0.5</v>
      </c>
      <c r="I38" s="208">
        <f>H38+1</f>
        <v>1.5</v>
      </c>
      <c r="J38" s="208">
        <f t="shared" ref="J38:L38" si="23">I38+1</f>
        <v>2.5</v>
      </c>
      <c r="K38" s="208">
        <f t="shared" si="23"/>
        <v>3.5</v>
      </c>
      <c r="L38" s="208">
        <f t="shared" si="23"/>
        <v>4.5</v>
      </c>
      <c r="M38" s="193"/>
    </row>
    <row r="39" spans="2:13">
      <c r="B39" s="182" t="s">
        <v>195</v>
      </c>
      <c r="C39" s="183"/>
      <c r="D39" s="183"/>
      <c r="E39" s="183"/>
      <c r="F39" s="183"/>
      <c r="G39" s="183"/>
      <c r="H39" s="209">
        <f>1/(1+WACC)^H38</f>
        <v>0.94915799575249904</v>
      </c>
      <c r="I39" s="210">
        <f>1/(1+WACC)^I38</f>
        <v>0.85509729347071961</v>
      </c>
      <c r="J39" s="210">
        <f>1/(1+WACC)^J38</f>
        <v>0.77035792204569342</v>
      </c>
      <c r="K39" s="210">
        <f>1/(1+WACC)^K38</f>
        <v>0.69401614598711103</v>
      </c>
      <c r="L39" s="210">
        <f>1/(1+WACC)^L38</f>
        <v>0.62523977115955953</v>
      </c>
      <c r="M39" s="193"/>
    </row>
    <row r="40" spans="2:13">
      <c r="B40" s="182" t="s">
        <v>196</v>
      </c>
      <c r="C40" s="211"/>
      <c r="D40" s="211"/>
      <c r="E40" s="211"/>
      <c r="F40" s="211"/>
      <c r="G40" s="211"/>
      <c r="H40" s="212">
        <f>H33</f>
        <v>-212520.87854335044</v>
      </c>
      <c r="I40" s="213">
        <f>I33</f>
        <v>11047.967852002897</v>
      </c>
      <c r="J40" s="213">
        <f>J33</f>
        <v>1245.0220105636399</v>
      </c>
      <c r="K40" s="213">
        <f>K33</f>
        <v>23729.036724180405</v>
      </c>
      <c r="L40" s="213">
        <f>L33</f>
        <v>36673.84172615016</v>
      </c>
      <c r="M40" s="193"/>
    </row>
    <row r="41" spans="2:13">
      <c r="B41" s="182" t="s">
        <v>197</v>
      </c>
      <c r="C41" s="211"/>
      <c r="D41" s="211"/>
      <c r="E41" s="211"/>
      <c r="F41" s="211"/>
      <c r="G41" s="211"/>
      <c r="H41" s="212"/>
      <c r="I41" s="213"/>
      <c r="J41" s="213"/>
      <c r="K41" s="213"/>
      <c r="L41" s="213">
        <f>M33/(WACC-g)</f>
        <v>948490.88554367411</v>
      </c>
      <c r="M41" s="193"/>
    </row>
    <row r="42" spans="2:13">
      <c r="B42" s="182" t="s">
        <v>198</v>
      </c>
      <c r="C42" s="211"/>
      <c r="D42" s="211"/>
      <c r="E42" s="211"/>
      <c r="F42" s="211"/>
      <c r="G42" s="211"/>
      <c r="H42" s="212">
        <f>SUM(H40:H41)*H39</f>
        <v>-201715.89113376677</v>
      </c>
      <c r="I42" s="214">
        <f>SUM(I40:I41)*I39</f>
        <v>9447.0874085991982</v>
      </c>
      <c r="J42" s="214">
        <f t="shared" ref="J42:L42" si="24">SUM(J40:J41)*J39</f>
        <v>959.11256895895701</v>
      </c>
      <c r="K42" s="214">
        <f t="shared" si="24"/>
        <v>16468.334615302309</v>
      </c>
      <c r="L42" s="214">
        <f t="shared" si="24"/>
        <v>615964.16863265482</v>
      </c>
      <c r="M42" s="193"/>
    </row>
    <row r="43" spans="2:13" ht="15.75" thickBot="1">
      <c r="B43" s="198" t="s">
        <v>199</v>
      </c>
      <c r="C43" s="199"/>
      <c r="D43" s="199"/>
      <c r="E43" s="199"/>
      <c r="F43" s="199"/>
      <c r="G43" s="199">
        <f>SUM(H42:L42)</f>
        <v>441122.81209174852</v>
      </c>
      <c r="H43" s="200"/>
      <c r="I43" s="199"/>
      <c r="J43" s="199"/>
      <c r="K43" s="199"/>
      <c r="L43" s="199"/>
      <c r="M43" s="201"/>
    </row>
    <row r="44" spans="2:13">
      <c r="B44" s="182"/>
      <c r="C44" s="183"/>
      <c r="D44" s="183"/>
      <c r="E44" s="183"/>
      <c r="F44" s="183"/>
      <c r="G44" s="183"/>
      <c r="H44" s="203"/>
      <c r="I44" s="193"/>
      <c r="J44" s="193"/>
      <c r="K44" s="193"/>
      <c r="L44" s="193"/>
      <c r="M44" s="193"/>
    </row>
    <row r="45" spans="2:13">
      <c r="B45" s="182"/>
      <c r="C45" s="215"/>
      <c r="D45" s="215"/>
      <c r="E45" s="215"/>
      <c r="F45" s="215"/>
      <c r="G45" s="215"/>
      <c r="H45" s="203"/>
      <c r="I45" s="193"/>
      <c r="J45" s="193"/>
      <c r="K45" s="193"/>
      <c r="L45" s="193"/>
      <c r="M45" s="193"/>
    </row>
    <row r="46" spans="2:13">
      <c r="B46" s="160" t="s">
        <v>200</v>
      </c>
      <c r="C46" s="215"/>
      <c r="D46" s="215"/>
      <c r="E46" s="215"/>
      <c r="F46" s="215"/>
      <c r="G46" s="215"/>
      <c r="H46" s="203"/>
      <c r="I46" s="193"/>
      <c r="J46" s="193"/>
      <c r="K46" s="193"/>
      <c r="L46" s="193"/>
      <c r="M46" s="193"/>
    </row>
    <row r="47" spans="2:13">
      <c r="B47" s="182" t="s">
        <v>201</v>
      </c>
      <c r="C47" s="196"/>
      <c r="D47" s="196"/>
      <c r="E47" s="196"/>
      <c r="F47" s="196"/>
      <c r="G47" s="196">
        <f>G43</f>
        <v>441122.81209174852</v>
      </c>
      <c r="H47" s="216"/>
      <c r="I47" s="217"/>
      <c r="J47" s="217"/>
      <c r="K47" s="217"/>
      <c r="L47" s="217"/>
      <c r="M47" s="217"/>
    </row>
    <row r="48" spans="2:13">
      <c r="B48" s="182" t="s">
        <v>202</v>
      </c>
      <c r="C48" s="196"/>
      <c r="D48" s="196"/>
      <c r="E48" s="196"/>
      <c r="F48" s="196"/>
      <c r="G48" s="196">
        <f>'Output - Analysis'!G88</f>
        <v>55999</v>
      </c>
      <c r="H48" s="216"/>
      <c r="I48" s="217"/>
      <c r="J48" s="217"/>
      <c r="K48" s="217"/>
      <c r="L48" s="217"/>
      <c r="M48" s="217"/>
    </row>
    <row r="49" spans="2:18">
      <c r="B49" s="182" t="s">
        <v>203</v>
      </c>
      <c r="C49" s="196"/>
      <c r="D49" s="196"/>
      <c r="E49" s="196"/>
      <c r="F49" s="196"/>
      <c r="G49" s="196">
        <f>'Output - Analysis'!G91</f>
        <v>217936</v>
      </c>
      <c r="H49" s="216"/>
      <c r="I49" s="217"/>
      <c r="J49" s="217"/>
      <c r="K49" s="217"/>
      <c r="L49" s="217"/>
      <c r="M49" s="217"/>
      <c r="N49" s="181"/>
      <c r="O49" s="181"/>
      <c r="P49" s="181"/>
      <c r="Q49" s="181"/>
      <c r="R49" s="181"/>
    </row>
    <row r="50" spans="2:18" ht="15.75" thickBot="1">
      <c r="B50" s="198" t="s">
        <v>204</v>
      </c>
      <c r="C50" s="199"/>
      <c r="D50" s="199"/>
      <c r="E50" s="199"/>
      <c r="F50" s="199"/>
      <c r="G50" s="199">
        <f>G47+G48-G49</f>
        <v>279185.81209174852</v>
      </c>
      <c r="H50" s="216"/>
      <c r="I50" s="217"/>
      <c r="J50" s="217"/>
      <c r="K50" s="217"/>
      <c r="L50" s="217"/>
      <c r="M50" s="217"/>
      <c r="N50" s="181"/>
      <c r="O50" s="181"/>
      <c r="P50" s="181"/>
      <c r="Q50" s="181"/>
      <c r="R50" s="181"/>
    </row>
    <row r="51" spans="2:18">
      <c r="B51" s="182"/>
      <c r="C51" s="196"/>
      <c r="D51" s="196"/>
      <c r="E51" s="196"/>
      <c r="F51" s="196"/>
      <c r="G51" s="196"/>
      <c r="H51" s="216"/>
      <c r="I51" s="217"/>
      <c r="J51" s="217"/>
      <c r="K51" s="217"/>
      <c r="L51" s="217"/>
      <c r="M51" s="217"/>
      <c r="N51" s="181"/>
      <c r="O51" s="181"/>
      <c r="P51" s="181"/>
      <c r="Q51" s="181"/>
      <c r="R51" s="181"/>
    </row>
    <row r="52" spans="2:18">
      <c r="B52" s="182"/>
      <c r="C52" s="196"/>
      <c r="D52" s="196"/>
      <c r="E52" s="196"/>
      <c r="F52" s="196"/>
      <c r="G52" s="196"/>
      <c r="H52" s="216"/>
      <c r="I52" s="217"/>
      <c r="J52" s="217"/>
      <c r="K52" s="217"/>
      <c r="L52" s="217"/>
      <c r="M52" s="217"/>
      <c r="N52" s="181"/>
      <c r="O52" s="181"/>
      <c r="P52" s="181"/>
      <c r="Q52" s="181"/>
      <c r="R52" s="181"/>
    </row>
    <row r="53" spans="2:18" ht="25.5" thickBot="1">
      <c r="B53" s="16" t="s">
        <v>205</v>
      </c>
      <c r="C53" s="173" t="str">
        <f>C16</f>
        <v>2009A</v>
      </c>
      <c r="D53" s="173" t="str">
        <f t="shared" ref="D53:M53" si="25">D16</f>
        <v>2010A</v>
      </c>
      <c r="E53" s="173" t="str">
        <f t="shared" si="25"/>
        <v>2011A</v>
      </c>
      <c r="F53" s="173" t="str">
        <f t="shared" si="25"/>
        <v>2012A</v>
      </c>
      <c r="G53" s="173" t="str">
        <f t="shared" si="25"/>
        <v>2013A</v>
      </c>
      <c r="H53" s="218" t="str">
        <f t="shared" si="25"/>
        <v>2014F</v>
      </c>
      <c r="I53" s="173" t="str">
        <f t="shared" si="25"/>
        <v>2015F</v>
      </c>
      <c r="J53" s="173" t="str">
        <f t="shared" si="25"/>
        <v>2016F</v>
      </c>
      <c r="K53" s="173" t="str">
        <f t="shared" si="25"/>
        <v>2017F</v>
      </c>
      <c r="L53" s="173" t="str">
        <f t="shared" si="25"/>
        <v>2018F</v>
      </c>
      <c r="M53" s="173" t="str">
        <f t="shared" si="25"/>
        <v>Terminal year</v>
      </c>
      <c r="N53" s="181"/>
      <c r="O53" s="181"/>
      <c r="P53" s="181"/>
      <c r="Q53" s="181"/>
      <c r="R53" s="181"/>
    </row>
    <row r="54" spans="2:18">
      <c r="B54" s="182" t="s">
        <v>206</v>
      </c>
      <c r="C54" s="196"/>
      <c r="D54" s="196"/>
      <c r="E54" s="196"/>
      <c r="F54" s="196"/>
      <c r="G54" s="196">
        <f>'Output - Analysis'!G34</f>
        <v>525111</v>
      </c>
      <c r="H54" s="216">
        <f t="shared" ref="H54:M54" si="26">D10*H17</f>
        <v>837708.05299999996</v>
      </c>
      <c r="I54" s="217">
        <f t="shared" si="26"/>
        <v>887970.53618000005</v>
      </c>
      <c r="J54" s="217">
        <f t="shared" si="26"/>
        <v>950128.47371260007</v>
      </c>
      <c r="K54" s="217">
        <f t="shared" si="26"/>
        <v>997634.89739823015</v>
      </c>
      <c r="L54" s="217">
        <f t="shared" si="26"/>
        <v>1037540.2932941593</v>
      </c>
      <c r="M54" s="217">
        <f t="shared" si="26"/>
        <v>1079041.9050259257</v>
      </c>
      <c r="N54" s="181"/>
      <c r="O54" s="181"/>
      <c r="P54" s="181"/>
      <c r="Q54" s="181"/>
      <c r="R54" s="181"/>
    </row>
    <row r="55" spans="2:18">
      <c r="B55" s="182" t="s">
        <v>45</v>
      </c>
      <c r="C55" s="196"/>
      <c r="D55" s="196"/>
      <c r="E55" s="196"/>
      <c r="F55" s="196"/>
      <c r="G55" s="196"/>
      <c r="H55" s="216">
        <f t="shared" ref="H55:M55" si="27">D9*H54</f>
        <v>11855.194748790402</v>
      </c>
      <c r="I55" s="217">
        <f t="shared" si="27"/>
        <v>12566.506433717826</v>
      </c>
      <c r="J55" s="217">
        <f t="shared" si="27"/>
        <v>13446.161884078074</v>
      </c>
      <c r="K55" s="217">
        <f t="shared" si="27"/>
        <v>14118.469978281979</v>
      </c>
      <c r="L55" s="217">
        <f t="shared" si="27"/>
        <v>14683.208777413258</v>
      </c>
      <c r="M55" s="217">
        <f t="shared" si="27"/>
        <v>15270.537128509788</v>
      </c>
      <c r="N55" s="181"/>
      <c r="O55" s="181"/>
      <c r="P55" s="181"/>
      <c r="Q55" s="181"/>
      <c r="R55" s="181"/>
    </row>
    <row r="56" spans="2:18">
      <c r="B56" s="182" t="s">
        <v>54</v>
      </c>
      <c r="C56" s="219"/>
      <c r="D56" s="219"/>
      <c r="E56" s="219"/>
      <c r="F56" s="219"/>
      <c r="G56" s="196">
        <f>'Output - Analysis'!G54</f>
        <v>249710</v>
      </c>
      <c r="H56" s="216">
        <f t="shared" ref="H56:M56" si="28">D11*H17</f>
        <v>219922.30610795453</v>
      </c>
      <c r="I56" s="217">
        <f t="shared" si="28"/>
        <v>233117.64447443181</v>
      </c>
      <c r="J56" s="217">
        <f t="shared" si="28"/>
        <v>249435.87958764206</v>
      </c>
      <c r="K56" s="217">
        <f t="shared" si="28"/>
        <v>261907.67356702418</v>
      </c>
      <c r="L56" s="217">
        <f t="shared" si="28"/>
        <v>272383.98050970514</v>
      </c>
      <c r="M56" s="217">
        <f t="shared" si="28"/>
        <v>283279.33973009337</v>
      </c>
      <c r="N56" s="181"/>
      <c r="O56" s="181"/>
      <c r="P56" s="181"/>
      <c r="Q56" s="181"/>
      <c r="R56" s="181"/>
    </row>
    <row r="57" spans="2:18">
      <c r="B57" s="182" t="s">
        <v>207</v>
      </c>
      <c r="C57" s="196">
        <f>'Output - Analysis'!C32</f>
        <v>813360</v>
      </c>
      <c r="D57" s="196">
        <f>'Output - Analysis'!D32</f>
        <v>902545</v>
      </c>
      <c r="E57" s="196">
        <f>'Output - Analysis'!E32</f>
        <v>1140035</v>
      </c>
      <c r="F57" s="196">
        <f>'Output - Analysis'!F32</f>
        <v>1122873</v>
      </c>
      <c r="G57" s="196">
        <f>'Output - Analysis'!G32</f>
        <v>774821</v>
      </c>
      <c r="H57" s="216">
        <f>G57-SUM(H30:H32)</f>
        <v>1057630.3591079544</v>
      </c>
      <c r="I57" s="217">
        <f t="shared" ref="I57:M57" si="29">H57-SUM(I30:I32)</f>
        <v>1121088.1806544317</v>
      </c>
      <c r="J57" s="217">
        <f t="shared" si="29"/>
        <v>1199564.353300242</v>
      </c>
      <c r="K57" s="217">
        <f t="shared" si="29"/>
        <v>1259542.5709652542</v>
      </c>
      <c r="L57" s="217">
        <f t="shared" si="29"/>
        <v>1309924.2738038644</v>
      </c>
      <c r="M57" s="217">
        <f t="shared" si="29"/>
        <v>1334067.678163158</v>
      </c>
      <c r="N57" s="181"/>
      <c r="O57" s="181"/>
      <c r="P57" s="181"/>
      <c r="Q57" s="181"/>
      <c r="R57" s="181"/>
    </row>
    <row r="58" spans="2:18">
      <c r="B58" s="182"/>
      <c r="C58" s="220"/>
      <c r="D58" s="220"/>
      <c r="E58" s="220"/>
      <c r="F58" s="220"/>
      <c r="G58" s="220"/>
      <c r="H58" s="193"/>
      <c r="I58" s="193"/>
      <c r="J58" s="221"/>
      <c r="K58" s="193"/>
      <c r="L58" s="193"/>
      <c r="M58" s="193"/>
      <c r="N58" s="181"/>
      <c r="O58" s="181"/>
      <c r="P58" s="181"/>
      <c r="Q58" s="181"/>
      <c r="R58" s="181"/>
    </row>
    <row r="59" spans="2:18">
      <c r="B59" s="182"/>
      <c r="C59" s="211"/>
      <c r="D59" s="211"/>
      <c r="E59" s="211"/>
      <c r="F59" s="211"/>
      <c r="G59" s="211"/>
      <c r="H59" s="193"/>
      <c r="I59" s="193"/>
      <c r="J59" s="193"/>
      <c r="K59" s="191"/>
      <c r="L59" s="191"/>
      <c r="M59" s="191"/>
      <c r="N59" s="181"/>
      <c r="O59" s="181"/>
      <c r="P59" s="181"/>
      <c r="Q59" s="181"/>
      <c r="R59" s="181"/>
    </row>
    <row r="60" spans="2:18">
      <c r="B60" s="182"/>
      <c r="C60" s="220"/>
      <c r="D60" s="220"/>
      <c r="E60" s="220"/>
      <c r="F60" s="220"/>
      <c r="G60" s="220"/>
      <c r="H60" s="193"/>
      <c r="I60" s="193"/>
      <c r="J60" s="193"/>
      <c r="K60" s="193"/>
      <c r="L60" s="193"/>
      <c r="M60" s="193"/>
      <c r="N60" s="181"/>
      <c r="O60" s="181"/>
      <c r="P60" s="181"/>
      <c r="Q60" s="181"/>
      <c r="R60" s="181"/>
    </row>
    <row r="61" spans="2:18" ht="15.75" thickBot="1">
      <c r="B61" s="16" t="s">
        <v>208</v>
      </c>
      <c r="C61" s="222"/>
      <c r="D61" s="222"/>
      <c r="E61" s="222"/>
      <c r="F61" s="222"/>
      <c r="G61" s="222"/>
      <c r="H61" s="223"/>
      <c r="I61" s="173"/>
      <c r="J61" s="173"/>
      <c r="K61" s="173"/>
      <c r="L61" s="173"/>
      <c r="M61" s="173"/>
      <c r="N61" s="181"/>
      <c r="O61" s="181"/>
      <c r="P61" s="181"/>
      <c r="Q61" s="181"/>
      <c r="R61" s="181"/>
    </row>
    <row r="62" spans="2:18">
      <c r="B62" s="182"/>
      <c r="C62" s="220"/>
      <c r="D62" s="220"/>
      <c r="E62" s="220"/>
      <c r="F62" s="220"/>
      <c r="G62" s="220"/>
      <c r="H62" s="193"/>
      <c r="I62" s="193"/>
      <c r="J62" s="193"/>
      <c r="K62" s="193"/>
      <c r="L62" s="193"/>
      <c r="M62" s="193"/>
      <c r="N62" s="181"/>
      <c r="O62" s="181"/>
      <c r="P62" s="181"/>
      <c r="Q62" s="181"/>
      <c r="R62" s="181"/>
    </row>
    <row r="63" spans="2:18">
      <c r="B63" s="182"/>
      <c r="C63" s="220"/>
      <c r="D63" s="220"/>
      <c r="E63" s="220"/>
      <c r="F63" s="220"/>
      <c r="G63" s="220"/>
      <c r="H63" s="193"/>
      <c r="I63" s="193"/>
      <c r="J63" s="193"/>
      <c r="K63" s="193"/>
      <c r="L63" s="193"/>
      <c r="M63" s="193"/>
      <c r="N63" s="181"/>
      <c r="O63" s="181"/>
      <c r="P63" s="181"/>
      <c r="Q63" s="181"/>
      <c r="R63" s="181"/>
    </row>
    <row r="64" spans="2:18">
      <c r="B64" s="224" t="s">
        <v>209</v>
      </c>
      <c r="C64" s="225"/>
      <c r="D64" s="225"/>
      <c r="E64" s="225"/>
      <c r="F64" s="225"/>
      <c r="G64" s="225"/>
      <c r="H64" s="226"/>
      <c r="I64" s="227"/>
      <c r="J64" s="193"/>
      <c r="K64" s="224" t="s">
        <v>210</v>
      </c>
      <c r="L64" s="225"/>
      <c r="M64" s="225"/>
      <c r="N64" s="225"/>
      <c r="O64" s="225"/>
      <c r="P64" s="225"/>
      <c r="Q64" s="226"/>
      <c r="R64" s="227"/>
    </row>
    <row r="65" spans="2:18" ht="15.75" thickBot="1">
      <c r="B65" s="228"/>
      <c r="C65" s="182"/>
      <c r="D65" s="211"/>
      <c r="E65" s="278" t="s">
        <v>156</v>
      </c>
      <c r="F65" s="278"/>
      <c r="G65" s="278"/>
      <c r="H65" s="278"/>
      <c r="I65" s="279"/>
      <c r="J65" s="193"/>
      <c r="K65" s="228"/>
      <c r="L65" s="182"/>
      <c r="M65" s="211"/>
      <c r="N65" s="278" t="s">
        <v>187</v>
      </c>
      <c r="O65" s="278"/>
      <c r="P65" s="278"/>
      <c r="Q65" s="278"/>
      <c r="R65" s="279"/>
    </row>
    <row r="66" spans="2:18">
      <c r="B66" s="228"/>
      <c r="C66" s="181"/>
      <c r="D66" s="229">
        <f>G50/1000</f>
        <v>279.18581209174852</v>
      </c>
      <c r="E66" s="230">
        <v>0.09</v>
      </c>
      <c r="F66" s="230">
        <v>0.1</v>
      </c>
      <c r="G66" s="230">
        <v>0.11</v>
      </c>
      <c r="H66" s="230">
        <v>0.12</v>
      </c>
      <c r="I66" s="231">
        <v>0.13</v>
      </c>
      <c r="J66" s="193"/>
      <c r="K66" s="228"/>
      <c r="L66" s="181"/>
      <c r="M66" s="229">
        <f>G50/1000</f>
        <v>279.18581209174852</v>
      </c>
      <c r="N66" s="230">
        <v>0.13</v>
      </c>
      <c r="O66" s="230">
        <v>0.14000000000000001</v>
      </c>
      <c r="P66" s="230">
        <v>0.15</v>
      </c>
      <c r="Q66" s="230">
        <v>0.16</v>
      </c>
      <c r="R66" s="231">
        <v>0.17</v>
      </c>
    </row>
    <row r="67" spans="2:18">
      <c r="B67" s="228"/>
      <c r="C67" s="276" t="s">
        <v>211</v>
      </c>
      <c r="D67" s="232">
        <v>0.03</v>
      </c>
      <c r="E67" s="233">
        <f t="dataTable" ref="E67:I71" dt2D="1" dtr="1" r1="D13" r2="I5"/>
        <v>498.8994064586563</v>
      </c>
      <c r="F67" s="234">
        <v>354.22835742946262</v>
      </c>
      <c r="G67" s="234">
        <v>246.78665211446193</v>
      </c>
      <c r="H67" s="234">
        <v>164.12082960016608</v>
      </c>
      <c r="I67" s="235">
        <v>98.761139268380006</v>
      </c>
      <c r="J67" s="193"/>
      <c r="K67" s="228"/>
      <c r="L67" s="282" t="str">
        <f>C77</f>
        <v>EBITDA margin</v>
      </c>
      <c r="M67" s="236">
        <f>D77</f>
        <v>0.52</v>
      </c>
      <c r="N67" s="233">
        <f t="dataTable" ref="N67:R71" dt2D="1" dtr="1" r1="D12" r2="D7" ca="1"/>
        <v>178.18015890981607</v>
      </c>
      <c r="O67" s="234">
        <v>194.55846721391777</v>
      </c>
      <c r="P67" s="234">
        <v>208.75300107747248</v>
      </c>
      <c r="Q67" s="234">
        <v>221.17321820808294</v>
      </c>
      <c r="R67" s="235">
        <v>232.13223332332737</v>
      </c>
    </row>
    <row r="68" spans="2:18">
      <c r="B68" s="228"/>
      <c r="C68" s="276"/>
      <c r="D68" s="232">
        <v>3.5000000000000003E-2</v>
      </c>
      <c r="E68" s="237">
        <v>539.89137155415278</v>
      </c>
      <c r="F68" s="196">
        <v>378.96145255130062</v>
      </c>
      <c r="G68" s="196">
        <v>262.02721696777741</v>
      </c>
      <c r="H68" s="196">
        <v>173.51712361322984</v>
      </c>
      <c r="I68" s="238">
        <v>104.41836637012975</v>
      </c>
      <c r="J68" s="193"/>
      <c r="K68" s="228"/>
      <c r="L68" s="282"/>
      <c r="M68" s="236">
        <f t="shared" ref="M68:M70" si="30">D78</f>
        <v>0.54</v>
      </c>
      <c r="N68" s="237">
        <v>213.29564664576918</v>
      </c>
      <c r="O68" s="196">
        <v>230.3961275094691</v>
      </c>
      <c r="P68" s="196">
        <v>245.21654425800912</v>
      </c>
      <c r="Q68" s="196">
        <v>258.18440891298144</v>
      </c>
      <c r="R68" s="238">
        <v>269.62664243207485</v>
      </c>
    </row>
    <row r="69" spans="2:18">
      <c r="B69" s="228"/>
      <c r="C69" s="276"/>
      <c r="D69" s="232">
        <v>0.04</v>
      </c>
      <c r="E69" s="237">
        <v>588.6879203970891</v>
      </c>
      <c r="F69" s="196">
        <v>407.5017691444545</v>
      </c>
      <c r="G69" s="239">
        <v>279.18581209174852</v>
      </c>
      <c r="H69" s="196">
        <v>183.87013119853299</v>
      </c>
      <c r="I69" s="238">
        <v>110.51814567852392</v>
      </c>
      <c r="J69" s="193"/>
      <c r="K69" s="228"/>
      <c r="L69" s="282"/>
      <c r="M69" s="236">
        <f t="shared" si="30"/>
        <v>0.55863190730837786</v>
      </c>
      <c r="N69" s="237">
        <v>246.00907227500696</v>
      </c>
      <c r="O69" s="196">
        <v>263.78232574826137</v>
      </c>
      <c r="P69" s="239">
        <v>279.18581209174852</v>
      </c>
      <c r="Q69" s="196">
        <v>292.66386264229965</v>
      </c>
      <c r="R69" s="238">
        <v>304.55626018690373</v>
      </c>
    </row>
    <row r="70" spans="2:18">
      <c r="B70" s="228"/>
      <c r="C70" s="276"/>
      <c r="D70" s="232">
        <v>4.4999999999999998E-2</v>
      </c>
      <c r="E70" s="237">
        <v>647.89058090327796</v>
      </c>
      <c r="F70" s="196">
        <v>440.88764033746486</v>
      </c>
      <c r="G70" s="196">
        <v>298.70505985652613</v>
      </c>
      <c r="H70" s="196">
        <v>195.37119507052296</v>
      </c>
      <c r="I70" s="238">
        <v>117.13857464179361</v>
      </c>
      <c r="J70" s="193"/>
      <c r="K70" s="228"/>
      <c r="L70" s="282"/>
      <c r="M70" s="236">
        <f t="shared" si="30"/>
        <v>0.57999999999999996</v>
      </c>
      <c r="N70" s="237">
        <v>283.526622117675</v>
      </c>
      <c r="O70" s="196">
        <v>302.0714481005715</v>
      </c>
      <c r="P70" s="196">
        <v>318.14363061908176</v>
      </c>
      <c r="Q70" s="196">
        <v>332.20679032277826</v>
      </c>
      <c r="R70" s="238">
        <v>344.61546064956929</v>
      </c>
    </row>
    <row r="71" spans="2:18" ht="15.75" thickBot="1">
      <c r="B71" s="240"/>
      <c r="C71" s="277"/>
      <c r="D71" s="241">
        <v>0.05</v>
      </c>
      <c r="E71" s="242">
        <v>721.40164494643943</v>
      </c>
      <c r="F71" s="243">
        <v>480.57273251028846</v>
      </c>
      <c r="G71" s="243">
        <v>321.17512342231208</v>
      </c>
      <c r="H71" s="243">
        <v>208.26632729063323</v>
      </c>
      <c r="I71" s="244">
        <v>124.37727507022827</v>
      </c>
      <c r="J71" s="193"/>
      <c r="K71" s="240"/>
      <c r="L71" s="283"/>
      <c r="M71" s="245">
        <f>D81</f>
        <v>0.6</v>
      </c>
      <c r="N71" s="242">
        <v>318.64210985362809</v>
      </c>
      <c r="O71" s="243">
        <v>337.90910839612292</v>
      </c>
      <c r="P71" s="243">
        <v>354.60717379961841</v>
      </c>
      <c r="Q71" s="243">
        <v>369.21798102767696</v>
      </c>
      <c r="R71" s="244">
        <v>382.10986975831679</v>
      </c>
    </row>
    <row r="72" spans="2:18">
      <c r="B72" s="182"/>
      <c r="C72" s="211"/>
      <c r="D72" s="211"/>
      <c r="E72" s="211"/>
      <c r="F72" s="211"/>
      <c r="G72" s="211"/>
      <c r="H72" s="193"/>
      <c r="I72" s="193"/>
      <c r="J72" s="193"/>
      <c r="K72" s="193"/>
      <c r="L72" s="193"/>
      <c r="M72" s="193"/>
      <c r="N72" s="181"/>
      <c r="O72" s="181"/>
      <c r="P72" s="181"/>
      <c r="Q72" s="181"/>
      <c r="R72" s="181"/>
    </row>
    <row r="73" spans="2:18">
      <c r="B73" s="182"/>
      <c r="C73" s="211"/>
      <c r="D73" s="211"/>
      <c r="E73" s="211"/>
      <c r="F73" s="211"/>
      <c r="G73" s="211"/>
      <c r="H73" s="193"/>
      <c r="I73" s="193"/>
      <c r="J73" s="193"/>
      <c r="K73" s="193"/>
      <c r="L73" s="193"/>
      <c r="M73" s="193"/>
      <c r="N73" s="181"/>
      <c r="O73" s="181"/>
      <c r="P73" s="181"/>
      <c r="Q73" s="181"/>
      <c r="R73" s="181"/>
    </row>
    <row r="74" spans="2:18">
      <c r="B74" s="182"/>
      <c r="C74" s="211"/>
      <c r="D74" s="211"/>
      <c r="E74" s="211"/>
      <c r="F74" s="211"/>
      <c r="G74" s="211"/>
      <c r="H74" s="193"/>
      <c r="I74" s="193"/>
      <c r="J74" s="210"/>
      <c r="K74" s="193"/>
      <c r="L74" s="193"/>
      <c r="M74" s="193"/>
      <c r="N74" s="181"/>
      <c r="O74" s="181"/>
      <c r="P74" s="181"/>
      <c r="Q74" s="181"/>
      <c r="R74" s="181"/>
    </row>
    <row r="75" spans="2:18" ht="15.75" thickBot="1">
      <c r="B75" s="224" t="s">
        <v>212</v>
      </c>
      <c r="C75" s="246"/>
      <c r="D75" s="247"/>
      <c r="E75" s="280" t="str">
        <f>E65</f>
        <v>WACC</v>
      </c>
      <c r="F75" s="280"/>
      <c r="G75" s="280"/>
      <c r="H75" s="280"/>
      <c r="I75" s="281"/>
      <c r="J75" s="193"/>
      <c r="K75" s="224" t="s">
        <v>209</v>
      </c>
      <c r="L75" s="225"/>
      <c r="M75" s="225"/>
      <c r="N75" s="225"/>
      <c r="O75" s="225"/>
      <c r="P75" s="225"/>
      <c r="Q75" s="226"/>
      <c r="R75" s="227"/>
    </row>
    <row r="76" spans="2:18" ht="15.75" thickBot="1">
      <c r="B76" s="248"/>
      <c r="C76" s="181"/>
      <c r="D76" s="229">
        <f>G50/1000</f>
        <v>279.18581209174852</v>
      </c>
      <c r="E76" s="249">
        <f>E66</f>
        <v>0.09</v>
      </c>
      <c r="F76" s="249">
        <f t="shared" ref="F76:H76" si="31">F66</f>
        <v>0.1</v>
      </c>
      <c r="G76" s="249">
        <f t="shared" si="31"/>
        <v>0.11</v>
      </c>
      <c r="H76" s="249">
        <f t="shared" si="31"/>
        <v>0.12</v>
      </c>
      <c r="I76" s="250">
        <f>I66</f>
        <v>0.13</v>
      </c>
      <c r="J76" s="193"/>
      <c r="K76" s="228"/>
      <c r="L76" s="182"/>
      <c r="M76" s="211"/>
      <c r="N76" s="284" t="str">
        <f>N65</f>
        <v>Terminal year ROIC</v>
      </c>
      <c r="O76" s="284"/>
      <c r="P76" s="284"/>
      <c r="Q76" s="284"/>
      <c r="R76" s="285"/>
    </row>
    <row r="77" spans="2:18">
      <c r="B77" s="248"/>
      <c r="C77" s="276" t="s">
        <v>69</v>
      </c>
      <c r="D77" s="232">
        <v>0.52</v>
      </c>
      <c r="E77" s="233">
        <f t="dataTable" ref="E77:I81" dt2D="1" dtr="1" r1="D13" r2="D7" ca="1"/>
        <v>493.00736373004423</v>
      </c>
      <c r="F77" s="234">
        <v>326.52777068363304</v>
      </c>
      <c r="G77" s="234">
        <v>208.75300107747248</v>
      </c>
      <c r="H77" s="234">
        <v>121.37336549882684</v>
      </c>
      <c r="I77" s="235">
        <v>54.219180521776316</v>
      </c>
      <c r="J77" s="193"/>
      <c r="K77" s="228"/>
      <c r="L77" s="181"/>
      <c r="M77" s="229">
        <f>G50/1000</f>
        <v>279.18581209174852</v>
      </c>
      <c r="N77" s="249">
        <f>N66</f>
        <v>0.13</v>
      </c>
      <c r="O77" s="249">
        <f t="shared" ref="O77:Q77" si="32">O66</f>
        <v>0.14000000000000001</v>
      </c>
      <c r="P77" s="249">
        <f t="shared" si="32"/>
        <v>0.15</v>
      </c>
      <c r="Q77" s="249">
        <f t="shared" si="32"/>
        <v>0.16</v>
      </c>
      <c r="R77" s="250">
        <f>R66</f>
        <v>0.17</v>
      </c>
    </row>
    <row r="78" spans="2:18">
      <c r="B78" s="248"/>
      <c r="C78" s="276"/>
      <c r="D78" s="232">
        <v>0.54</v>
      </c>
      <c r="E78" s="237">
        <v>542.5418357939152</v>
      </c>
      <c r="F78" s="196">
        <v>368.44855798230287</v>
      </c>
      <c r="G78" s="196">
        <v>245.21654425800912</v>
      </c>
      <c r="H78" s="196">
        <v>153.7283642830329</v>
      </c>
      <c r="I78" s="238">
        <v>83.365535998011595</v>
      </c>
      <c r="J78" s="193"/>
      <c r="K78" s="228"/>
      <c r="L78" s="282" t="str">
        <f>C67</f>
        <v>Perpetual growth</v>
      </c>
      <c r="M78" s="236">
        <f>D67</f>
        <v>0.03</v>
      </c>
      <c r="N78" s="233">
        <f t="dataTable" ref="N78:R82" dt2D="1" dtr="1" r1="D12" r2="I5" ca="1"/>
        <v>225.22376502804011</v>
      </c>
      <c r="O78" s="234">
        <v>236.77531168148056</v>
      </c>
      <c r="P78" s="234">
        <v>246.78665211446193</v>
      </c>
      <c r="Q78" s="234">
        <v>255.5465749933208</v>
      </c>
      <c r="R78" s="235">
        <v>263.27591870996105</v>
      </c>
    </row>
    <row r="79" spans="2:18">
      <c r="B79" s="248"/>
      <c r="C79" s="276"/>
      <c r="D79" s="232">
        <v>0.55863190730837786</v>
      </c>
      <c r="E79" s="237">
        <v>588.6879203970891</v>
      </c>
      <c r="F79" s="196">
        <v>407.5017691444545</v>
      </c>
      <c r="G79" s="239">
        <v>279.18581209174852</v>
      </c>
      <c r="H79" s="196">
        <v>183.87013119853299</v>
      </c>
      <c r="I79" s="238">
        <v>110.51814567852392</v>
      </c>
      <c r="J79" s="193"/>
      <c r="K79" s="228"/>
      <c r="L79" s="282"/>
      <c r="M79" s="236">
        <f t="shared" ref="M79:M81" si="33">D68</f>
        <v>3.5000000000000003E-2</v>
      </c>
      <c r="N79" s="237">
        <v>235.06314068883441</v>
      </c>
      <c r="O79" s="196">
        <v>249.50818155255408</v>
      </c>
      <c r="P79" s="196">
        <v>262.02721696777741</v>
      </c>
      <c r="Q79" s="196">
        <v>272.98137295609814</v>
      </c>
      <c r="R79" s="238">
        <v>282.64680471049871</v>
      </c>
    </row>
    <row r="80" spans="2:18">
      <c r="B80" s="248"/>
      <c r="C80" s="276"/>
      <c r="D80" s="232">
        <v>0.57999999999999996</v>
      </c>
      <c r="E80" s="237">
        <v>641.61077992165701</v>
      </c>
      <c r="F80" s="196">
        <v>452.29013257964186</v>
      </c>
      <c r="G80" s="196">
        <v>318.14363061908176</v>
      </c>
      <c r="H80" s="196">
        <v>218.4383618514446</v>
      </c>
      <c r="I80" s="238">
        <v>141.65824695048201</v>
      </c>
      <c r="J80" s="193"/>
      <c r="K80" s="228"/>
      <c r="L80" s="282"/>
      <c r="M80" s="236">
        <f t="shared" si="33"/>
        <v>0.04</v>
      </c>
      <c r="N80" s="237">
        <v>246.00907227500696</v>
      </c>
      <c r="O80" s="196">
        <v>263.78232574826137</v>
      </c>
      <c r="P80" s="239">
        <v>279.18581209174852</v>
      </c>
      <c r="Q80" s="196">
        <v>292.66386264229965</v>
      </c>
      <c r="R80" s="238">
        <v>304.55626018690373</v>
      </c>
    </row>
    <row r="81" spans="2:18" ht="15.75" thickBot="1">
      <c r="B81" s="251"/>
      <c r="C81" s="277"/>
      <c r="D81" s="241">
        <v>0.6</v>
      </c>
      <c r="E81" s="242">
        <v>691.14525198552803</v>
      </c>
      <c r="F81" s="243">
        <v>494.21091987831181</v>
      </c>
      <c r="G81" s="243">
        <v>354.60717379961841</v>
      </c>
      <c r="H81" s="243">
        <v>250.79336063565069</v>
      </c>
      <c r="I81" s="244">
        <v>170.80460242671739</v>
      </c>
      <c r="J81" s="193"/>
      <c r="K81" s="228"/>
      <c r="L81" s="282"/>
      <c r="M81" s="236">
        <f t="shared" si="33"/>
        <v>4.4999999999999998E-2</v>
      </c>
      <c r="N81" s="237">
        <v>258.31691884626025</v>
      </c>
      <c r="O81" s="196">
        <v>279.95342295890259</v>
      </c>
      <c r="P81" s="196">
        <v>298.70505985652613</v>
      </c>
      <c r="Q81" s="196">
        <v>315.11274214194668</v>
      </c>
      <c r="R81" s="238">
        <v>329.59010886437653</v>
      </c>
    </row>
    <row r="82" spans="2:18" ht="15.75" thickBot="1">
      <c r="B82" s="182"/>
      <c r="C82" s="252"/>
      <c r="D82" s="166"/>
      <c r="E82" s="196"/>
      <c r="F82" s="196"/>
      <c r="G82" s="196"/>
      <c r="H82" s="196"/>
      <c r="I82" s="196"/>
      <c r="J82" s="193"/>
      <c r="K82" s="240"/>
      <c r="L82" s="283"/>
      <c r="M82" s="245">
        <f>D71</f>
        <v>0.05</v>
      </c>
      <c r="N82" s="242">
        <v>272.3271591488645</v>
      </c>
      <c r="O82" s="243">
        <v>298.49571143821146</v>
      </c>
      <c r="P82" s="243">
        <v>321.17512342231208</v>
      </c>
      <c r="Q82" s="243">
        <v>341.01960890840019</v>
      </c>
      <c r="R82" s="244">
        <v>358.52944904318383</v>
      </c>
    </row>
    <row r="83" spans="2:18">
      <c r="B83" s="182"/>
      <c r="C83" s="252"/>
      <c r="D83" s="166"/>
      <c r="E83" s="196"/>
      <c r="F83" s="196"/>
      <c r="G83" s="196"/>
      <c r="H83" s="196"/>
      <c r="I83" s="196"/>
      <c r="J83" s="193"/>
      <c r="K83" s="253"/>
      <c r="L83" s="253"/>
      <c r="M83" s="253"/>
      <c r="N83" s="181"/>
      <c r="O83" s="181"/>
      <c r="P83" s="181"/>
      <c r="Q83" s="181"/>
      <c r="R83" s="181"/>
    </row>
    <row r="84" spans="2:18">
      <c r="B84" s="182"/>
      <c r="C84" s="252"/>
      <c r="D84" s="166"/>
      <c r="E84" s="196"/>
      <c r="F84" s="196"/>
      <c r="G84" s="196"/>
      <c r="H84" s="196"/>
      <c r="I84" s="196"/>
      <c r="J84" s="193"/>
      <c r="K84" s="253"/>
      <c r="L84" s="253"/>
      <c r="M84" s="253"/>
      <c r="N84" s="181"/>
      <c r="O84" s="181"/>
      <c r="P84" s="181"/>
      <c r="Q84" s="181"/>
      <c r="R84" s="181"/>
    </row>
    <row r="85" spans="2:18" ht="15.75" thickBot="1">
      <c r="B85" s="16" t="s">
        <v>213</v>
      </c>
      <c r="C85" s="173"/>
      <c r="D85" s="173"/>
      <c r="E85" s="173"/>
      <c r="F85" s="173"/>
      <c r="G85" s="173"/>
      <c r="H85" s="223"/>
      <c r="I85" s="173"/>
      <c r="J85" s="173"/>
      <c r="K85" s="173"/>
      <c r="L85" s="173"/>
      <c r="M85" s="173"/>
      <c r="N85" s="181"/>
      <c r="O85" s="181"/>
      <c r="P85" s="181"/>
      <c r="Q85" s="181"/>
      <c r="R85" s="181"/>
    </row>
    <row r="86" spans="2:18">
      <c r="B86" s="254"/>
      <c r="C86" s="255"/>
      <c r="D86" s="255"/>
      <c r="E86" s="255"/>
      <c r="F86" s="255"/>
      <c r="G86" s="255"/>
      <c r="H86" s="255"/>
      <c r="I86" s="255"/>
      <c r="J86" s="255"/>
      <c r="K86" s="255"/>
      <c r="L86" s="255"/>
      <c r="M86" s="255"/>
      <c r="N86" s="181"/>
      <c r="O86" s="181"/>
      <c r="P86" s="181"/>
      <c r="Q86" s="181"/>
      <c r="R86" s="181"/>
    </row>
    <row r="87" spans="2:18">
      <c r="B87" s="254" t="s">
        <v>214</v>
      </c>
      <c r="C87" s="255"/>
      <c r="D87" s="255"/>
      <c r="E87" s="255"/>
      <c r="F87" s="255"/>
      <c r="G87" s="255"/>
      <c r="H87" s="255"/>
      <c r="I87" s="255"/>
      <c r="J87" s="255"/>
      <c r="K87" s="255"/>
      <c r="L87" s="255"/>
      <c r="M87" s="255"/>
      <c r="N87" s="181"/>
      <c r="O87" s="181"/>
      <c r="P87" s="181"/>
      <c r="Q87" s="181"/>
      <c r="R87" s="181"/>
    </row>
    <row r="88" spans="2:18">
      <c r="B88" s="182" t="s">
        <v>215</v>
      </c>
      <c r="C88" s="256">
        <f>G43/G22</f>
        <v>4.4112281209174853</v>
      </c>
      <c r="D88" s="183"/>
      <c r="E88" s="183"/>
      <c r="F88" s="183"/>
      <c r="G88" s="183"/>
      <c r="H88" s="193"/>
      <c r="I88" s="193"/>
      <c r="J88" s="193"/>
      <c r="K88" s="193"/>
      <c r="L88" s="193"/>
      <c r="M88" s="193"/>
      <c r="N88" s="181"/>
      <c r="O88" s="181"/>
      <c r="P88" s="181"/>
      <c r="Q88" s="181"/>
      <c r="R88" s="181"/>
    </row>
    <row r="89" spans="2:18">
      <c r="B89" s="182" t="s">
        <v>217</v>
      </c>
      <c r="C89" s="256">
        <f>G43/G25</f>
        <v>4.9013645787972058</v>
      </c>
      <c r="D89" s="183"/>
      <c r="E89" s="183"/>
      <c r="F89" s="183"/>
      <c r="G89" s="183"/>
      <c r="H89" s="193"/>
      <c r="I89" s="193"/>
      <c r="J89" s="193"/>
      <c r="K89" s="193"/>
      <c r="L89" s="193"/>
      <c r="M89" s="193"/>
      <c r="N89" s="181"/>
      <c r="O89" s="181"/>
      <c r="P89" s="181"/>
      <c r="Q89" s="181"/>
      <c r="R89" s="181"/>
    </row>
    <row r="90" spans="2:18">
      <c r="B90" s="182"/>
      <c r="C90" s="183"/>
      <c r="D90" s="183"/>
      <c r="E90" s="183"/>
      <c r="F90" s="183"/>
      <c r="G90" s="183"/>
      <c r="H90" s="193"/>
      <c r="I90" s="193"/>
      <c r="J90" s="193"/>
      <c r="K90" s="193"/>
      <c r="L90" s="193"/>
      <c r="M90" s="193"/>
      <c r="N90" s="181"/>
      <c r="O90" s="181"/>
      <c r="P90" s="181"/>
      <c r="Q90" s="181"/>
      <c r="R90" s="181"/>
    </row>
    <row r="91" spans="2:18">
      <c r="B91" s="182"/>
      <c r="C91" s="183"/>
      <c r="D91" s="183"/>
      <c r="E91" s="183"/>
      <c r="F91" s="183"/>
      <c r="G91" s="183"/>
      <c r="H91" s="193"/>
      <c r="I91" s="193"/>
      <c r="J91" s="193"/>
      <c r="K91" s="193"/>
      <c r="L91" s="193"/>
      <c r="M91" s="193"/>
      <c r="N91" s="181"/>
      <c r="O91" s="181"/>
      <c r="P91" s="181"/>
      <c r="Q91" s="181"/>
      <c r="R91" s="181"/>
    </row>
    <row r="92" spans="2:18">
      <c r="B92" s="182"/>
      <c r="C92" s="183"/>
      <c r="D92" s="183"/>
      <c r="E92" s="183"/>
      <c r="F92" s="183"/>
      <c r="G92" s="183"/>
      <c r="H92" s="193"/>
      <c r="I92" s="193"/>
      <c r="J92" s="193"/>
      <c r="K92" s="193"/>
      <c r="L92" s="193"/>
      <c r="M92" s="193"/>
      <c r="N92" s="181"/>
      <c r="O92" s="181"/>
      <c r="P92" s="181"/>
      <c r="Q92" s="181"/>
      <c r="R92" s="181"/>
    </row>
    <row r="93" spans="2:18">
      <c r="B93" s="182"/>
      <c r="C93" s="183"/>
      <c r="D93" s="183"/>
      <c r="E93" s="183"/>
      <c r="F93" s="183"/>
      <c r="G93" s="183"/>
      <c r="H93" s="193"/>
      <c r="I93" s="193"/>
      <c r="J93" s="193"/>
      <c r="K93" s="193"/>
      <c r="L93" s="193"/>
      <c r="M93" s="193"/>
      <c r="N93" s="181"/>
      <c r="O93" s="181"/>
      <c r="P93" s="181"/>
      <c r="Q93" s="181"/>
      <c r="R93" s="181"/>
    </row>
    <row r="94" spans="2:18">
      <c r="B94" s="182"/>
      <c r="C94" s="183"/>
      <c r="D94" s="183"/>
      <c r="E94" s="183"/>
      <c r="F94" s="183"/>
      <c r="G94" s="183"/>
      <c r="H94" s="193"/>
      <c r="I94" s="193"/>
      <c r="J94" s="193"/>
      <c r="K94" s="193"/>
      <c r="L94" s="193"/>
      <c r="M94" s="193"/>
      <c r="N94" s="181"/>
      <c r="O94" s="181"/>
      <c r="P94" s="181"/>
      <c r="Q94" s="181"/>
      <c r="R94" s="181"/>
    </row>
    <row r="95" spans="2:18">
      <c r="B95" s="182"/>
      <c r="C95" s="183"/>
      <c r="D95" s="183"/>
      <c r="E95" s="183"/>
      <c r="F95" s="183"/>
      <c r="G95" s="183"/>
      <c r="H95" s="193"/>
      <c r="I95" s="193"/>
      <c r="J95" s="193"/>
      <c r="K95" s="193"/>
      <c r="L95" s="193"/>
      <c r="M95" s="193"/>
      <c r="N95" s="181"/>
      <c r="O95" s="181"/>
      <c r="P95" s="181"/>
      <c r="Q95" s="181"/>
      <c r="R95" s="181"/>
    </row>
    <row r="96" spans="2:18">
      <c r="B96" s="182"/>
      <c r="C96" s="183"/>
      <c r="D96" s="183"/>
      <c r="E96" s="183"/>
      <c r="F96" s="183"/>
      <c r="G96" s="183"/>
      <c r="H96" s="193"/>
      <c r="I96" s="193"/>
      <c r="J96" s="193"/>
      <c r="K96" s="193"/>
      <c r="L96" s="193"/>
      <c r="M96" s="193"/>
      <c r="N96" s="181"/>
      <c r="O96" s="181"/>
      <c r="P96" s="181"/>
      <c r="Q96" s="181"/>
      <c r="R96" s="181"/>
    </row>
    <row r="97" spans="1:21">
      <c r="B97" s="182"/>
      <c r="C97" s="183"/>
      <c r="D97" s="183"/>
      <c r="E97" s="183"/>
      <c r="F97" s="183"/>
      <c r="G97" s="183"/>
      <c r="H97" s="193"/>
      <c r="I97" s="193"/>
      <c r="J97" s="193"/>
      <c r="K97" s="193"/>
      <c r="L97" s="193"/>
      <c r="M97" s="193"/>
      <c r="N97" s="181"/>
      <c r="O97" s="181"/>
      <c r="P97" s="181"/>
      <c r="Q97" s="181"/>
      <c r="R97" s="181"/>
      <c r="S97" s="181"/>
      <c r="T97" s="181"/>
      <c r="U97" s="181"/>
    </row>
    <row r="98" spans="1:21">
      <c r="B98" s="182"/>
      <c r="C98" s="183"/>
      <c r="D98" s="183"/>
      <c r="E98" s="183"/>
      <c r="F98" s="183"/>
      <c r="G98" s="183"/>
      <c r="H98" s="193"/>
      <c r="I98" s="193"/>
      <c r="J98" s="193"/>
      <c r="K98" s="193"/>
      <c r="L98" s="193"/>
      <c r="M98" s="193"/>
      <c r="N98" s="181"/>
      <c r="O98" s="181"/>
      <c r="P98" s="181"/>
      <c r="Q98" s="181"/>
      <c r="R98" s="181"/>
      <c r="S98" s="181"/>
      <c r="T98" s="181"/>
      <c r="U98" s="181"/>
    </row>
    <row r="99" spans="1:21">
      <c r="B99" s="182"/>
      <c r="C99" s="183"/>
      <c r="D99" s="183"/>
      <c r="E99" s="183"/>
      <c r="F99" s="183"/>
      <c r="G99" s="183"/>
      <c r="H99" s="193"/>
      <c r="I99" s="193"/>
      <c r="J99" s="193"/>
      <c r="K99" s="193"/>
      <c r="L99" s="193"/>
      <c r="M99" s="193"/>
      <c r="N99" s="181"/>
      <c r="O99" s="181"/>
      <c r="P99" s="181"/>
      <c r="Q99" s="181"/>
      <c r="R99" s="181"/>
      <c r="S99" s="181"/>
      <c r="T99" s="181"/>
      <c r="U99" s="181"/>
    </row>
    <row r="100" spans="1:21">
      <c r="B100" s="182"/>
      <c r="C100" s="183"/>
      <c r="D100" s="183"/>
      <c r="E100" s="183"/>
      <c r="F100" s="183"/>
      <c r="G100" s="183"/>
      <c r="H100" s="193"/>
      <c r="I100" s="193"/>
      <c r="J100" s="193"/>
      <c r="K100" s="193"/>
      <c r="L100" s="193"/>
      <c r="M100" s="193"/>
      <c r="N100" s="181"/>
      <c r="O100" s="181"/>
      <c r="P100" s="181"/>
      <c r="Q100" s="181"/>
      <c r="R100" s="181"/>
      <c r="S100" s="181"/>
      <c r="T100" s="181"/>
      <c r="U100" s="181"/>
    </row>
    <row r="101" spans="1:21">
      <c r="B101" s="182"/>
      <c r="C101" s="183"/>
      <c r="D101" s="183"/>
      <c r="E101" s="183"/>
      <c r="F101" s="183"/>
      <c r="G101" s="183"/>
      <c r="H101" s="193"/>
      <c r="I101" s="193"/>
      <c r="J101" s="193"/>
      <c r="K101" s="193"/>
      <c r="L101" s="193"/>
      <c r="M101" s="193"/>
      <c r="N101" s="181"/>
      <c r="O101" s="181"/>
      <c r="P101" s="181"/>
      <c r="Q101" s="181"/>
      <c r="R101" s="181"/>
      <c r="S101" s="181"/>
      <c r="T101" s="181"/>
      <c r="U101" s="181"/>
    </row>
    <row r="102" spans="1:21">
      <c r="B102" s="182"/>
      <c r="C102" s="183"/>
      <c r="D102" s="183"/>
      <c r="E102" s="183"/>
      <c r="F102" s="183"/>
      <c r="G102" s="183"/>
      <c r="H102" s="193"/>
      <c r="I102" s="193"/>
      <c r="J102" s="193"/>
      <c r="K102" s="193"/>
      <c r="L102" s="193"/>
      <c r="M102" s="193"/>
      <c r="N102" s="181"/>
      <c r="O102" s="181"/>
      <c r="P102" s="181"/>
      <c r="Q102" s="181"/>
      <c r="R102" s="181"/>
      <c r="S102" s="181"/>
      <c r="T102" s="181"/>
      <c r="U102" s="181"/>
    </row>
    <row r="103" spans="1:21">
      <c r="A103" s="64"/>
      <c r="B103" s="182"/>
      <c r="C103" s="183"/>
      <c r="D103" s="183"/>
      <c r="E103" s="183"/>
      <c r="F103" s="183"/>
      <c r="G103" s="183"/>
      <c r="H103" s="193"/>
      <c r="I103" s="193"/>
      <c r="J103" s="193"/>
      <c r="K103" s="193"/>
      <c r="L103" s="193"/>
      <c r="M103" s="193"/>
      <c r="N103" s="181"/>
      <c r="O103" s="181"/>
      <c r="P103" s="181"/>
      <c r="Q103" s="181"/>
      <c r="R103" s="181"/>
      <c r="S103" s="181"/>
      <c r="T103" s="181"/>
      <c r="U103" s="181"/>
    </row>
    <row r="104" spans="1:21">
      <c r="A104" s="64"/>
      <c r="B104" s="182"/>
      <c r="C104" s="183"/>
      <c r="D104" s="183"/>
      <c r="E104" s="183"/>
      <c r="F104" s="183"/>
      <c r="G104" s="183"/>
      <c r="H104" s="193"/>
      <c r="I104" s="193"/>
      <c r="J104" s="193"/>
      <c r="K104" s="193"/>
      <c r="L104" s="193"/>
      <c r="M104" s="193"/>
      <c r="N104" s="181"/>
      <c r="O104" s="181"/>
      <c r="P104" s="181"/>
      <c r="Q104" s="181"/>
      <c r="R104" s="181"/>
      <c r="S104" s="181"/>
      <c r="T104" s="181"/>
      <c r="U104" s="181"/>
    </row>
    <row r="105" spans="1:21">
      <c r="A105" s="64"/>
      <c r="B105" s="182"/>
      <c r="C105" s="183"/>
      <c r="D105" s="183"/>
      <c r="E105" s="183"/>
      <c r="F105" s="183"/>
      <c r="G105" s="183"/>
      <c r="H105" s="193"/>
      <c r="I105" s="193"/>
      <c r="J105" s="193"/>
      <c r="K105" s="193"/>
      <c r="L105" s="193"/>
      <c r="M105" s="193"/>
      <c r="N105" s="181"/>
      <c r="O105" s="181"/>
      <c r="P105" s="181"/>
      <c r="Q105" s="181"/>
      <c r="R105" s="181"/>
      <c r="S105" s="181"/>
      <c r="T105" s="181"/>
      <c r="U105" s="181"/>
    </row>
    <row r="106" spans="1:21">
      <c r="A106" s="64"/>
      <c r="B106" s="182"/>
      <c r="C106" s="183"/>
      <c r="D106" s="183"/>
      <c r="E106" s="183"/>
      <c r="F106" s="183"/>
      <c r="G106" s="183"/>
      <c r="H106" s="193"/>
      <c r="I106" s="193"/>
      <c r="J106" s="193"/>
      <c r="K106" s="193"/>
      <c r="L106" s="193"/>
      <c r="M106" s="193"/>
      <c r="N106" s="181"/>
      <c r="O106" s="181"/>
      <c r="P106" s="181"/>
      <c r="Q106" s="181"/>
      <c r="R106" s="181"/>
      <c r="S106" s="181"/>
      <c r="T106" s="181"/>
      <c r="U106" s="181"/>
    </row>
    <row r="107" spans="1:21">
      <c r="A107" s="64"/>
      <c r="B107" s="182"/>
      <c r="C107" s="183"/>
      <c r="D107" s="183"/>
      <c r="E107" s="183"/>
      <c r="F107" s="183"/>
      <c r="G107" s="183"/>
      <c r="H107" s="193"/>
      <c r="I107" s="193"/>
      <c r="J107" s="193"/>
      <c r="K107" s="193"/>
      <c r="L107" s="193"/>
      <c r="M107" s="193"/>
      <c r="N107" s="181"/>
      <c r="O107" s="181"/>
      <c r="P107" s="181"/>
      <c r="Q107" s="181"/>
      <c r="R107" s="181"/>
      <c r="S107" s="181"/>
      <c r="T107" s="181"/>
      <c r="U107" s="181"/>
    </row>
    <row r="108" spans="1:21">
      <c r="A108" s="64"/>
      <c r="B108" s="182"/>
      <c r="C108" s="183"/>
      <c r="D108" s="183"/>
      <c r="E108" s="183"/>
      <c r="F108" s="183"/>
      <c r="G108" s="183"/>
      <c r="H108" s="193"/>
      <c r="I108" s="193"/>
      <c r="J108" s="193"/>
      <c r="K108" s="193"/>
      <c r="L108" s="193"/>
      <c r="M108" s="193"/>
      <c r="N108" s="181"/>
      <c r="O108" s="181"/>
      <c r="P108" s="181"/>
      <c r="Q108" s="181"/>
      <c r="R108" s="181"/>
      <c r="S108" s="181"/>
      <c r="T108" s="181"/>
      <c r="U108" s="181"/>
    </row>
    <row r="109" spans="1:21">
      <c r="A109" s="64"/>
      <c r="B109" s="182"/>
      <c r="C109" s="183"/>
      <c r="D109" s="183"/>
      <c r="E109" s="183"/>
      <c r="F109" s="183"/>
      <c r="G109" s="183"/>
      <c r="H109" s="193"/>
      <c r="I109" s="193"/>
      <c r="J109" s="193"/>
      <c r="K109" s="193"/>
      <c r="L109" s="193"/>
      <c r="M109" s="193"/>
      <c r="N109" s="181"/>
      <c r="O109" s="181"/>
      <c r="P109" s="181"/>
      <c r="Q109" s="181"/>
      <c r="R109" s="181"/>
      <c r="S109" s="181"/>
      <c r="T109" s="181"/>
      <c r="U109" s="181"/>
    </row>
    <row r="110" spans="1:21">
      <c r="A110" s="64"/>
      <c r="B110" s="182"/>
      <c r="C110" s="183"/>
      <c r="D110" s="183"/>
      <c r="E110" s="183"/>
      <c r="F110" s="183"/>
      <c r="G110" s="183"/>
      <c r="H110" s="183"/>
      <c r="I110" s="193"/>
      <c r="J110" s="193"/>
      <c r="K110" s="193"/>
      <c r="L110" s="257"/>
      <c r="M110" s="257"/>
      <c r="N110" s="257"/>
      <c r="O110" s="257"/>
      <c r="P110" s="257"/>
      <c r="Q110" s="257"/>
      <c r="R110" s="257"/>
      <c r="S110" s="257"/>
      <c r="T110" s="257"/>
      <c r="U110" s="257"/>
    </row>
    <row r="111" spans="1:21">
      <c r="A111" s="64"/>
      <c r="B111" s="182"/>
      <c r="C111" s="183"/>
      <c r="D111" s="183"/>
      <c r="E111" s="183"/>
      <c r="F111" s="183"/>
      <c r="G111" s="183"/>
      <c r="H111" s="193"/>
      <c r="I111" s="193"/>
      <c r="J111" s="193"/>
      <c r="K111" s="193"/>
      <c r="L111" s="193"/>
      <c r="M111" s="193"/>
      <c r="N111" s="181"/>
      <c r="O111" s="181"/>
      <c r="P111" s="181"/>
      <c r="Q111" s="181"/>
      <c r="R111" s="181"/>
      <c r="S111" s="181"/>
      <c r="T111" s="181"/>
      <c r="U111" s="181"/>
    </row>
    <row r="112" spans="1:21">
      <c r="A112" s="64"/>
      <c r="B112" s="182"/>
      <c r="C112" s="183"/>
      <c r="D112" s="183"/>
      <c r="E112" s="183"/>
      <c r="F112" s="183"/>
      <c r="G112" s="183"/>
      <c r="H112" s="193"/>
      <c r="I112" s="193"/>
      <c r="J112" s="193"/>
      <c r="K112" s="193"/>
      <c r="L112" s="193"/>
      <c r="M112" s="193"/>
      <c r="N112" s="181"/>
      <c r="O112" s="181"/>
      <c r="P112" s="181"/>
      <c r="Q112" s="181"/>
      <c r="R112" s="181"/>
      <c r="S112" s="181"/>
      <c r="T112" s="181"/>
      <c r="U112" s="181"/>
    </row>
    <row r="113" spans="1:13">
      <c r="A113" s="64"/>
      <c r="B113" s="182"/>
      <c r="C113" s="183"/>
      <c r="D113" s="183"/>
      <c r="E113" s="183"/>
      <c r="F113" s="183"/>
      <c r="G113" s="183"/>
      <c r="H113" s="193"/>
      <c r="I113" s="193"/>
      <c r="J113" s="193"/>
      <c r="K113" s="193"/>
      <c r="L113" s="193"/>
      <c r="M113" s="193"/>
    </row>
    <row r="114" spans="1:13">
      <c r="A114" s="64"/>
      <c r="B114" s="182"/>
      <c r="C114" s="183"/>
      <c r="D114" s="183"/>
      <c r="E114" s="183"/>
      <c r="F114" s="183"/>
      <c r="G114" s="183"/>
      <c r="H114" s="193"/>
      <c r="I114" s="193"/>
      <c r="J114" s="193"/>
      <c r="K114" s="193"/>
      <c r="L114" s="193"/>
      <c r="M114" s="193"/>
    </row>
    <row r="115" spans="1:13">
      <c r="A115" s="64"/>
      <c r="B115" s="182"/>
      <c r="C115" s="183"/>
      <c r="D115" s="183"/>
      <c r="E115" s="183"/>
      <c r="F115" s="183"/>
      <c r="G115" s="183"/>
      <c r="H115" s="193"/>
      <c r="I115" s="193"/>
      <c r="J115" s="193"/>
      <c r="K115" s="193"/>
      <c r="L115" s="193"/>
      <c r="M115" s="193"/>
    </row>
    <row r="116" spans="1:13">
      <c r="A116" s="64"/>
      <c r="B116" s="182"/>
      <c r="C116" s="183"/>
      <c r="D116" s="183"/>
      <c r="E116" s="183"/>
      <c r="F116" s="183"/>
      <c r="G116" s="183"/>
      <c r="H116" s="193"/>
      <c r="I116" s="193"/>
      <c r="J116" s="193"/>
      <c r="K116" s="193"/>
      <c r="L116" s="193"/>
      <c r="M116" s="193"/>
    </row>
    <row r="117" spans="1:13">
      <c r="A117" s="64"/>
      <c r="B117" s="182"/>
      <c r="C117" s="183"/>
      <c r="D117" s="183"/>
      <c r="E117" s="183"/>
      <c r="F117" s="183"/>
      <c r="G117" s="183"/>
      <c r="H117" s="193"/>
      <c r="I117" s="193"/>
      <c r="J117" s="193"/>
      <c r="K117" s="193"/>
      <c r="L117" s="193"/>
      <c r="M117" s="193"/>
    </row>
    <row r="118" spans="1:13">
      <c r="A118" s="64"/>
      <c r="B118" s="182"/>
      <c r="C118" s="183"/>
      <c r="D118" s="183"/>
      <c r="E118" s="183"/>
      <c r="F118" s="183"/>
      <c r="G118" s="183"/>
      <c r="H118" s="193"/>
      <c r="I118" s="193"/>
      <c r="J118" s="193"/>
      <c r="K118" s="193"/>
      <c r="L118" s="193"/>
      <c r="M118" s="193"/>
    </row>
    <row r="119" spans="1:13">
      <c r="A119" s="64"/>
    </row>
    <row r="120" spans="1:13">
      <c r="A120" s="64"/>
    </row>
    <row r="121" spans="1:13">
      <c r="A121" s="64"/>
    </row>
    <row r="122" spans="1:13">
      <c r="A122" s="64"/>
    </row>
    <row r="123" spans="1:13">
      <c r="A123" s="64"/>
    </row>
    <row r="124" spans="1:13">
      <c r="A124" s="64"/>
    </row>
    <row r="125" spans="1:13">
      <c r="A125" s="64"/>
    </row>
    <row r="126" spans="1:13">
      <c r="A126" s="64"/>
    </row>
    <row r="127" spans="1:13">
      <c r="A127" s="64"/>
    </row>
    <row r="128" spans="1:13">
      <c r="A128" s="64"/>
    </row>
    <row r="129" spans="1:1">
      <c r="A129" s="64"/>
    </row>
    <row r="130" spans="1:1">
      <c r="A130" s="64"/>
    </row>
    <row r="131" spans="1:1">
      <c r="A131" s="64"/>
    </row>
    <row r="132" spans="1:1">
      <c r="A132" s="64"/>
    </row>
    <row r="133" spans="1:1">
      <c r="A133" s="64"/>
    </row>
    <row r="134" spans="1:1">
      <c r="A134" s="64"/>
    </row>
    <row r="135" spans="1:1">
      <c r="A135" s="64"/>
    </row>
    <row r="136" spans="1:1">
      <c r="A136" s="64"/>
    </row>
    <row r="137" spans="1:1">
      <c r="A137" s="64"/>
    </row>
    <row r="138" spans="1:1">
      <c r="A138" s="64"/>
    </row>
    <row r="139" spans="1:1">
      <c r="A139" s="64"/>
    </row>
    <row r="140" spans="1:1">
      <c r="A140" s="64"/>
    </row>
    <row r="141" spans="1:1">
      <c r="A141" s="64"/>
    </row>
    <row r="142" spans="1:1">
      <c r="A142" s="64"/>
    </row>
    <row r="143" spans="1:1">
      <c r="A143" s="64"/>
    </row>
    <row r="144" spans="1:1">
      <c r="A144" s="64"/>
    </row>
    <row r="145" spans="1:1">
      <c r="A145" s="64"/>
    </row>
    <row r="146" spans="1:1">
      <c r="A146" s="64"/>
    </row>
    <row r="147" spans="1:1">
      <c r="A147" s="64"/>
    </row>
    <row r="148" spans="1:1">
      <c r="A148" s="64"/>
    </row>
    <row r="149" spans="1:1">
      <c r="A149" s="64"/>
    </row>
    <row r="150" spans="1:1">
      <c r="A150" s="64"/>
    </row>
    <row r="151" spans="1:1">
      <c r="A151" s="64"/>
    </row>
    <row r="152" spans="1:1">
      <c r="A152" s="64"/>
    </row>
    <row r="153" spans="1:1">
      <c r="A153" s="64"/>
    </row>
    <row r="154" spans="1:1">
      <c r="A154" s="64"/>
    </row>
    <row r="155" spans="1:1">
      <c r="A155" s="64"/>
    </row>
    <row r="156" spans="1:1">
      <c r="A156" s="64"/>
    </row>
    <row r="157" spans="1:1">
      <c r="A157" s="64"/>
    </row>
    <row r="158" spans="1:1">
      <c r="A158" s="64"/>
    </row>
    <row r="159" spans="1:1">
      <c r="A159" s="64"/>
    </row>
    <row r="160" spans="1:1">
      <c r="A160" s="64"/>
    </row>
    <row r="161" spans="1:1">
      <c r="A161" s="64"/>
    </row>
    <row r="162" spans="1:1">
      <c r="A162" s="64"/>
    </row>
    <row r="163" spans="1:1">
      <c r="A163" s="64"/>
    </row>
    <row r="164" spans="1:1">
      <c r="A164" s="64"/>
    </row>
    <row r="165" spans="1:1">
      <c r="A165" s="64"/>
    </row>
    <row r="166" spans="1:1">
      <c r="A166" s="64"/>
    </row>
    <row r="167" spans="1:1">
      <c r="A167" s="64"/>
    </row>
    <row r="168" spans="1:1">
      <c r="A168" s="64"/>
    </row>
    <row r="169" spans="1:1">
      <c r="A169" s="64"/>
    </row>
    <row r="170" spans="1:1">
      <c r="A170" s="64"/>
    </row>
    <row r="171" spans="1:1">
      <c r="A171" s="64"/>
    </row>
    <row r="172" spans="1:1">
      <c r="A172" s="64"/>
    </row>
    <row r="173" spans="1:1">
      <c r="A173" s="64"/>
    </row>
    <row r="174" spans="1:1">
      <c r="A174" s="64"/>
    </row>
    <row r="175" spans="1:1">
      <c r="A175" s="64"/>
    </row>
    <row r="176" spans="1:1">
      <c r="A176" s="64"/>
    </row>
    <row r="177" spans="1:1">
      <c r="A177" s="64"/>
    </row>
    <row r="178" spans="1:1">
      <c r="A178" s="64"/>
    </row>
    <row r="179" spans="1:1">
      <c r="A179" s="64"/>
    </row>
    <row r="180" spans="1:1">
      <c r="A180" s="64"/>
    </row>
    <row r="181" spans="1:1">
      <c r="A181" s="64"/>
    </row>
    <row r="182" spans="1:1">
      <c r="A182" s="64"/>
    </row>
    <row r="183" spans="1:1">
      <c r="A183" s="64"/>
    </row>
    <row r="184" spans="1:1">
      <c r="A184" s="64"/>
    </row>
    <row r="185" spans="1:1">
      <c r="A185" s="64"/>
    </row>
    <row r="186" spans="1:1">
      <c r="A186" s="64"/>
    </row>
    <row r="187" spans="1:1">
      <c r="A187" s="64"/>
    </row>
    <row r="188" spans="1:1">
      <c r="A188" s="64"/>
    </row>
    <row r="189" spans="1:1">
      <c r="A189" s="64"/>
    </row>
    <row r="190" spans="1:1">
      <c r="A190" s="64"/>
    </row>
    <row r="191" spans="1:1">
      <c r="A191" s="64"/>
    </row>
    <row r="192" spans="1:1">
      <c r="A192" s="64"/>
    </row>
    <row r="193" spans="1:1">
      <c r="A193" s="64"/>
    </row>
    <row r="194" spans="1:1">
      <c r="A194" s="64"/>
    </row>
    <row r="195" spans="1:1">
      <c r="A195" s="64"/>
    </row>
  </sheetData>
  <mergeCells count="9">
    <mergeCell ref="N65:R65"/>
    <mergeCell ref="L67:L71"/>
    <mergeCell ref="N76:R76"/>
    <mergeCell ref="L78:L82"/>
    <mergeCell ref="M30:M32"/>
    <mergeCell ref="C67:C71"/>
    <mergeCell ref="E65:I65"/>
    <mergeCell ref="E75:I75"/>
    <mergeCell ref="C77:C8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4"/>
  <sheetViews>
    <sheetView showGridLines="0" tabSelected="1" topLeftCell="E22" zoomScale="90" zoomScaleNormal="90" workbookViewId="0">
      <selection activeCell="C24" sqref="C24"/>
    </sheetView>
  </sheetViews>
  <sheetFormatPr defaultRowHeight="15" outlineLevelRow="1"/>
  <cols>
    <col min="1" max="1" width="8" style="3" customWidth="1"/>
    <col min="2" max="2" width="13.25" style="3" customWidth="1"/>
    <col min="3" max="3" width="8.75" style="3" customWidth="1"/>
    <col min="4" max="4" width="9" style="1"/>
    <col min="5" max="5" width="9" style="258"/>
    <col min="6" max="6" width="14.25" style="258" bestFit="1" customWidth="1"/>
    <col min="7" max="13" width="9" style="258"/>
    <col min="14" max="14" width="9.25" style="258" customWidth="1"/>
    <col min="15" max="15" width="8.75" style="258" bestFit="1" customWidth="1"/>
    <col min="16" max="16384" width="9" style="258"/>
  </cols>
  <sheetData>
    <row r="1" spans="2:20" hidden="1" outlineLevel="1"/>
    <row r="2" spans="2:20" hidden="1" outlineLevel="1">
      <c r="C2" s="4"/>
      <c r="J2" s="259" t="str">
        <f>'Valuation Forecast'!E65</f>
        <v>WACC</v>
      </c>
      <c r="R2" s="258" t="str">
        <f>J2</f>
        <v>WACC</v>
      </c>
    </row>
    <row r="3" spans="2:20" hidden="1" outlineLevel="1">
      <c r="C3" s="4"/>
      <c r="G3" s="260">
        <f>'Valuation Forecast'!D76</f>
        <v>279.18581209174852</v>
      </c>
      <c r="H3" s="261">
        <f>'Valuation Forecast'!E76</f>
        <v>0.09</v>
      </c>
      <c r="I3" s="261">
        <f>'Valuation Forecast'!F76</f>
        <v>0.1</v>
      </c>
      <c r="J3" s="261">
        <f>'Valuation Forecast'!G76</f>
        <v>0.11</v>
      </c>
      <c r="K3" s="261">
        <f>'Valuation Forecast'!H76</f>
        <v>0.12</v>
      </c>
      <c r="L3" s="261">
        <f>'Valuation Forecast'!I76</f>
        <v>0.13</v>
      </c>
      <c r="O3" s="260">
        <f>'Valuation Forecast'!D66</f>
        <v>279.18581209174852</v>
      </c>
      <c r="P3" s="261">
        <f>'Valuation Forecast'!E66</f>
        <v>0.09</v>
      </c>
      <c r="Q3" s="261">
        <f>'Valuation Forecast'!F66</f>
        <v>0.1</v>
      </c>
      <c r="R3" s="261">
        <f>'Valuation Forecast'!G66</f>
        <v>0.11</v>
      </c>
      <c r="S3" s="261">
        <f>'Valuation Forecast'!H66</f>
        <v>0.12</v>
      </c>
      <c r="T3" s="261">
        <f>'Valuation Forecast'!I66</f>
        <v>0.13</v>
      </c>
    </row>
    <row r="4" spans="2:20" hidden="1" outlineLevel="1">
      <c r="C4" s="4"/>
      <c r="G4" s="262">
        <f>'Valuation Forecast'!D77</f>
        <v>0.52</v>
      </c>
      <c r="H4" s="263">
        <f>'Valuation Forecast'!E77</f>
        <v>493.00736373004423</v>
      </c>
      <c r="I4" s="263">
        <f>'Valuation Forecast'!F77</f>
        <v>326.52777068363304</v>
      </c>
      <c r="J4" s="263">
        <f>'Valuation Forecast'!G77</f>
        <v>208.75300107747248</v>
      </c>
      <c r="K4" s="263">
        <f>'Valuation Forecast'!H77</f>
        <v>121.37336549882684</v>
      </c>
      <c r="L4" s="263">
        <f>'Valuation Forecast'!I77</f>
        <v>54.219180521776316</v>
      </c>
      <c r="O4" s="262">
        <f>'Valuation Forecast'!D67</f>
        <v>0.03</v>
      </c>
      <c r="P4" s="264">
        <f>'Valuation Forecast'!E67</f>
        <v>498.8994064586563</v>
      </c>
      <c r="Q4" s="264">
        <f>'Valuation Forecast'!F67</f>
        <v>354.22835742946262</v>
      </c>
      <c r="R4" s="264">
        <f>'Valuation Forecast'!G67</f>
        <v>246.78665211446193</v>
      </c>
      <c r="S4" s="264">
        <f>'Valuation Forecast'!H67</f>
        <v>164.12082960016608</v>
      </c>
      <c r="T4" s="264">
        <f>'Valuation Forecast'!I67</f>
        <v>98.761139268380006</v>
      </c>
    </row>
    <row r="5" spans="2:20" hidden="1" outlineLevel="1">
      <c r="C5" s="4"/>
      <c r="G5" s="262">
        <f>'Valuation Forecast'!D78</f>
        <v>0.54</v>
      </c>
      <c r="H5" s="263">
        <f>'Valuation Forecast'!E78</f>
        <v>542.5418357939152</v>
      </c>
      <c r="I5" s="263">
        <f>'Valuation Forecast'!F78</f>
        <v>368.44855798230287</v>
      </c>
      <c r="J5" s="263">
        <f>'Valuation Forecast'!G78</f>
        <v>245.21654425800912</v>
      </c>
      <c r="K5" s="263">
        <f>'Valuation Forecast'!H78</f>
        <v>153.7283642830329</v>
      </c>
      <c r="L5" s="263">
        <f>'Valuation Forecast'!I78</f>
        <v>83.365535998011595</v>
      </c>
      <c r="O5" s="262">
        <f>'Valuation Forecast'!D68</f>
        <v>3.5000000000000003E-2</v>
      </c>
      <c r="P5" s="264">
        <f>'Valuation Forecast'!E68</f>
        <v>539.89137155415278</v>
      </c>
      <c r="Q5" s="264">
        <f>'Valuation Forecast'!F68</f>
        <v>378.96145255130062</v>
      </c>
      <c r="R5" s="264">
        <f>'Valuation Forecast'!G68</f>
        <v>262.02721696777741</v>
      </c>
      <c r="S5" s="264">
        <f>'Valuation Forecast'!H68</f>
        <v>173.51712361322984</v>
      </c>
      <c r="T5" s="264">
        <f>'Valuation Forecast'!I68</f>
        <v>104.41836637012975</v>
      </c>
    </row>
    <row r="6" spans="2:20" ht="30" hidden="1" outlineLevel="1">
      <c r="B6" s="5"/>
      <c r="C6" s="5"/>
      <c r="D6" s="2"/>
      <c r="E6" s="265"/>
      <c r="F6" s="266" t="str">
        <f>'Valuation Forecast'!C77</f>
        <v>EBITDA margin</v>
      </c>
      <c r="G6" s="262">
        <f>'Valuation Forecast'!D79</f>
        <v>0.55863190730837786</v>
      </c>
      <c r="H6" s="263">
        <f>'Valuation Forecast'!E79</f>
        <v>588.6879203970891</v>
      </c>
      <c r="I6" s="263">
        <f>'Valuation Forecast'!F79</f>
        <v>407.5017691444545</v>
      </c>
      <c r="J6" s="267">
        <f>'Valuation Forecast'!G79</f>
        <v>279.18581209174852</v>
      </c>
      <c r="K6" s="263">
        <f>'Valuation Forecast'!H79</f>
        <v>183.87013119853299</v>
      </c>
      <c r="L6" s="263">
        <f>'Valuation Forecast'!I79</f>
        <v>110.51814567852392</v>
      </c>
      <c r="N6" s="268" t="str">
        <f>'Valuation Forecast'!C67</f>
        <v>Perpetual growth</v>
      </c>
      <c r="O6" s="262">
        <f>'Valuation Forecast'!D69</f>
        <v>0.04</v>
      </c>
      <c r="P6" s="264">
        <f>'Valuation Forecast'!E69</f>
        <v>588.6879203970891</v>
      </c>
      <c r="Q6" s="264">
        <f>'Valuation Forecast'!F69</f>
        <v>407.5017691444545</v>
      </c>
      <c r="R6" s="269">
        <f>'Valuation Forecast'!G69</f>
        <v>279.18581209174852</v>
      </c>
      <c r="S6" s="264">
        <f>'Valuation Forecast'!H69</f>
        <v>183.87013119853299</v>
      </c>
      <c r="T6" s="264">
        <f>'Valuation Forecast'!I69</f>
        <v>110.51814567852392</v>
      </c>
    </row>
    <row r="7" spans="2:20" hidden="1" outlineLevel="1">
      <c r="G7" s="262">
        <f>'Valuation Forecast'!D80</f>
        <v>0.57999999999999996</v>
      </c>
      <c r="H7" s="263">
        <f>'Valuation Forecast'!E80</f>
        <v>641.61077992165701</v>
      </c>
      <c r="I7" s="263">
        <f>'Valuation Forecast'!F80</f>
        <v>452.29013257964186</v>
      </c>
      <c r="J7" s="263">
        <f>'Valuation Forecast'!G80</f>
        <v>318.14363061908176</v>
      </c>
      <c r="K7" s="263">
        <f>'Valuation Forecast'!H80</f>
        <v>218.4383618514446</v>
      </c>
      <c r="L7" s="263">
        <f>'Valuation Forecast'!I80</f>
        <v>141.65824695048201</v>
      </c>
      <c r="O7" s="262">
        <f>'Valuation Forecast'!D70</f>
        <v>4.4999999999999998E-2</v>
      </c>
      <c r="P7" s="264">
        <f>'Valuation Forecast'!E70</f>
        <v>647.89058090327796</v>
      </c>
      <c r="Q7" s="264">
        <f>'Valuation Forecast'!F70</f>
        <v>440.88764033746486</v>
      </c>
      <c r="R7" s="264">
        <f>'Valuation Forecast'!G70</f>
        <v>298.70505985652613</v>
      </c>
      <c r="S7" s="264">
        <f>'Valuation Forecast'!H70</f>
        <v>195.37119507052296</v>
      </c>
      <c r="T7" s="264">
        <f>'Valuation Forecast'!I70</f>
        <v>117.13857464179361</v>
      </c>
    </row>
    <row r="8" spans="2:20" hidden="1" outlineLevel="1">
      <c r="G8" s="262">
        <f>'Valuation Forecast'!D81</f>
        <v>0.6</v>
      </c>
      <c r="H8" s="263">
        <f>'Valuation Forecast'!E81</f>
        <v>691.14525198552803</v>
      </c>
      <c r="I8" s="263">
        <f>'Valuation Forecast'!F81</f>
        <v>494.21091987831181</v>
      </c>
      <c r="J8" s="263">
        <f>'Valuation Forecast'!G81</f>
        <v>354.60717379961841</v>
      </c>
      <c r="K8" s="263">
        <f>'Valuation Forecast'!H81</f>
        <v>250.79336063565069</v>
      </c>
      <c r="L8" s="263">
        <f>'Valuation Forecast'!I81</f>
        <v>170.80460242671739</v>
      </c>
      <c r="O8" s="262">
        <f>'Valuation Forecast'!D71</f>
        <v>0.05</v>
      </c>
      <c r="P8" s="264">
        <f>'Valuation Forecast'!E71</f>
        <v>721.40164494643943</v>
      </c>
      <c r="Q8" s="264">
        <f>'Valuation Forecast'!F71</f>
        <v>480.57273251028846</v>
      </c>
      <c r="R8" s="264">
        <f>'Valuation Forecast'!G71</f>
        <v>321.17512342231208</v>
      </c>
      <c r="S8" s="264">
        <f>'Valuation Forecast'!H71</f>
        <v>208.26632729063323</v>
      </c>
      <c r="T8" s="264">
        <f>'Valuation Forecast'!I71</f>
        <v>124.37727507022827</v>
      </c>
    </row>
    <row r="9" spans="2:20" hidden="1" outlineLevel="1"/>
    <row r="10" spans="2:20" hidden="1" outlineLevel="1"/>
    <row r="11" spans="2:20" hidden="1" outlineLevel="1">
      <c r="J11" s="259" t="str">
        <f>'Valuation Forecast'!N65</f>
        <v>Terminal year ROIC</v>
      </c>
      <c r="R11" s="266" t="str">
        <f>J11</f>
        <v>Terminal year ROIC</v>
      </c>
    </row>
    <row r="12" spans="2:20" hidden="1" outlineLevel="1">
      <c r="G12" s="260">
        <f>'Valuation Forecast'!M66</f>
        <v>279.18581209174852</v>
      </c>
      <c r="H12" s="261">
        <f>'Valuation Forecast'!N66</f>
        <v>0.13</v>
      </c>
      <c r="I12" s="261">
        <f>'Valuation Forecast'!O66</f>
        <v>0.14000000000000001</v>
      </c>
      <c r="J12" s="261">
        <f>'Valuation Forecast'!P66</f>
        <v>0.15</v>
      </c>
      <c r="K12" s="261">
        <f>'Valuation Forecast'!Q66</f>
        <v>0.16</v>
      </c>
      <c r="L12" s="261">
        <f>'Valuation Forecast'!R66</f>
        <v>0.17</v>
      </c>
      <c r="O12" s="260">
        <f>'Valuation Forecast'!M77</f>
        <v>279.18581209174852</v>
      </c>
      <c r="P12" s="261">
        <f>'Valuation Forecast'!N77</f>
        <v>0.13</v>
      </c>
      <c r="Q12" s="261">
        <f>'Valuation Forecast'!O77</f>
        <v>0.14000000000000001</v>
      </c>
      <c r="R12" s="261">
        <f>'Valuation Forecast'!P77</f>
        <v>0.15</v>
      </c>
      <c r="S12" s="261">
        <f>'Valuation Forecast'!Q77</f>
        <v>0.16</v>
      </c>
      <c r="T12" s="261">
        <f>'Valuation Forecast'!R77</f>
        <v>0.17</v>
      </c>
    </row>
    <row r="13" spans="2:20" hidden="1" outlineLevel="1">
      <c r="G13" s="262">
        <f>'Valuation Forecast'!M67</f>
        <v>0.52</v>
      </c>
      <c r="H13" s="263">
        <f>'Valuation Forecast'!N67</f>
        <v>178.18015890981607</v>
      </c>
      <c r="I13" s="263">
        <f>'Valuation Forecast'!O67</f>
        <v>194.55846721391777</v>
      </c>
      <c r="J13" s="263">
        <f>'Valuation Forecast'!P67</f>
        <v>208.75300107747248</v>
      </c>
      <c r="K13" s="263">
        <f>'Valuation Forecast'!Q67</f>
        <v>221.17321820808294</v>
      </c>
      <c r="L13" s="263">
        <f>'Valuation Forecast'!R67</f>
        <v>232.13223332332737</v>
      </c>
      <c r="O13" s="262">
        <f>'Valuation Forecast'!M78</f>
        <v>0.03</v>
      </c>
      <c r="P13" s="263">
        <f>'Valuation Forecast'!N78</f>
        <v>225.22376502804011</v>
      </c>
      <c r="Q13" s="263">
        <f>'Valuation Forecast'!O78</f>
        <v>236.77531168148056</v>
      </c>
      <c r="R13" s="263">
        <f>'Valuation Forecast'!P78</f>
        <v>246.78665211446193</v>
      </c>
      <c r="S13" s="263">
        <f>'Valuation Forecast'!Q78</f>
        <v>255.5465749933208</v>
      </c>
      <c r="T13" s="263">
        <f>'Valuation Forecast'!R78</f>
        <v>263.27591870996105</v>
      </c>
    </row>
    <row r="14" spans="2:20" hidden="1" outlineLevel="1">
      <c r="G14" s="262">
        <f>'Valuation Forecast'!M68</f>
        <v>0.54</v>
      </c>
      <c r="H14" s="263">
        <f>'Valuation Forecast'!N68</f>
        <v>213.29564664576918</v>
      </c>
      <c r="I14" s="263">
        <f>'Valuation Forecast'!O68</f>
        <v>230.3961275094691</v>
      </c>
      <c r="J14" s="263">
        <f>'Valuation Forecast'!P68</f>
        <v>245.21654425800912</v>
      </c>
      <c r="K14" s="263">
        <f>'Valuation Forecast'!Q68</f>
        <v>258.18440891298144</v>
      </c>
      <c r="L14" s="263">
        <f>'Valuation Forecast'!R68</f>
        <v>269.62664243207485</v>
      </c>
      <c r="O14" s="262">
        <f>'Valuation Forecast'!M79</f>
        <v>3.5000000000000003E-2</v>
      </c>
      <c r="P14" s="263">
        <f>'Valuation Forecast'!N79</f>
        <v>235.06314068883441</v>
      </c>
      <c r="Q14" s="263">
        <f>'Valuation Forecast'!O79</f>
        <v>249.50818155255408</v>
      </c>
      <c r="R14" s="263">
        <f>'Valuation Forecast'!P79</f>
        <v>262.02721696777741</v>
      </c>
      <c r="S14" s="263">
        <f>'Valuation Forecast'!Q79</f>
        <v>272.98137295609814</v>
      </c>
      <c r="T14" s="263">
        <f>'Valuation Forecast'!R79</f>
        <v>282.64680471049871</v>
      </c>
    </row>
    <row r="15" spans="2:20" ht="30" hidden="1" outlineLevel="1">
      <c r="F15" s="258" t="str">
        <f>F6</f>
        <v>EBITDA margin</v>
      </c>
      <c r="G15" s="262">
        <f>'Valuation Forecast'!M69</f>
        <v>0.55863190730837786</v>
      </c>
      <c r="H15" s="263">
        <f>'Valuation Forecast'!N69</f>
        <v>246.00907227500696</v>
      </c>
      <c r="I15" s="263">
        <f>'Valuation Forecast'!O69</f>
        <v>263.78232574826137</v>
      </c>
      <c r="J15" s="267">
        <f>'Valuation Forecast'!P69</f>
        <v>279.18581209174852</v>
      </c>
      <c r="K15" s="263">
        <f>'Valuation Forecast'!Q69</f>
        <v>292.66386264229965</v>
      </c>
      <c r="L15" s="263">
        <f>'Valuation Forecast'!R69</f>
        <v>304.55626018690373</v>
      </c>
      <c r="N15" s="270" t="str">
        <f>N6</f>
        <v>Perpetual growth</v>
      </c>
      <c r="O15" s="262">
        <f>'Valuation Forecast'!M80</f>
        <v>0.04</v>
      </c>
      <c r="P15" s="263">
        <f>'Valuation Forecast'!N80</f>
        <v>246.00907227500696</v>
      </c>
      <c r="Q15" s="263">
        <f>'Valuation Forecast'!O80</f>
        <v>263.78232574826137</v>
      </c>
      <c r="R15" s="267">
        <f>'Valuation Forecast'!P80</f>
        <v>279.18581209174852</v>
      </c>
      <c r="S15" s="263">
        <f>'Valuation Forecast'!Q80</f>
        <v>292.66386264229965</v>
      </c>
      <c r="T15" s="263">
        <f>'Valuation Forecast'!R80</f>
        <v>304.55626018690373</v>
      </c>
    </row>
    <row r="16" spans="2:20" hidden="1" outlineLevel="1">
      <c r="G16" s="262">
        <f>'Valuation Forecast'!M70</f>
        <v>0.57999999999999996</v>
      </c>
      <c r="H16" s="263">
        <f>'Valuation Forecast'!N70</f>
        <v>283.526622117675</v>
      </c>
      <c r="I16" s="263">
        <f>'Valuation Forecast'!O70</f>
        <v>302.0714481005715</v>
      </c>
      <c r="J16" s="263">
        <f>'Valuation Forecast'!P70</f>
        <v>318.14363061908176</v>
      </c>
      <c r="K16" s="263">
        <f>'Valuation Forecast'!Q70</f>
        <v>332.20679032277826</v>
      </c>
      <c r="L16" s="263">
        <f>'Valuation Forecast'!R70</f>
        <v>344.61546064956929</v>
      </c>
      <c r="O16" s="262">
        <f>'Valuation Forecast'!M81</f>
        <v>4.4999999999999998E-2</v>
      </c>
      <c r="P16" s="263">
        <f>'Valuation Forecast'!N81</f>
        <v>258.31691884626025</v>
      </c>
      <c r="Q16" s="263">
        <f>'Valuation Forecast'!O81</f>
        <v>279.95342295890259</v>
      </c>
      <c r="R16" s="263">
        <f>'Valuation Forecast'!P81</f>
        <v>298.70505985652613</v>
      </c>
      <c r="S16" s="263">
        <f>'Valuation Forecast'!Q81</f>
        <v>315.11274214194668</v>
      </c>
      <c r="T16" s="263">
        <f>'Valuation Forecast'!R81</f>
        <v>329.59010886437653</v>
      </c>
    </row>
    <row r="17" spans="1:27" hidden="1" outlineLevel="1">
      <c r="G17" s="262">
        <f>'Valuation Forecast'!M71</f>
        <v>0.6</v>
      </c>
      <c r="H17" s="263">
        <f>'Valuation Forecast'!N71</f>
        <v>318.64210985362809</v>
      </c>
      <c r="I17" s="263">
        <f>'Valuation Forecast'!O71</f>
        <v>337.90910839612292</v>
      </c>
      <c r="J17" s="263">
        <f>'Valuation Forecast'!P71</f>
        <v>354.60717379961841</v>
      </c>
      <c r="K17" s="263">
        <f>'Valuation Forecast'!Q71</f>
        <v>369.21798102767696</v>
      </c>
      <c r="L17" s="263">
        <f>'Valuation Forecast'!R71</f>
        <v>382.10986975831679</v>
      </c>
      <c r="O17" s="262">
        <f>'Valuation Forecast'!M82</f>
        <v>0.05</v>
      </c>
      <c r="P17" s="263">
        <f>'Valuation Forecast'!N82</f>
        <v>272.3271591488645</v>
      </c>
      <c r="Q17" s="263">
        <f>'Valuation Forecast'!O82</f>
        <v>298.49571143821146</v>
      </c>
      <c r="R17" s="263">
        <f>'Valuation Forecast'!P82</f>
        <v>321.17512342231208</v>
      </c>
      <c r="S17" s="263">
        <f>'Valuation Forecast'!Q82</f>
        <v>341.01960890840019</v>
      </c>
      <c r="T17" s="263">
        <f>'Valuation Forecast'!R82</f>
        <v>358.52944904318383</v>
      </c>
    </row>
    <row r="18" spans="1:27" hidden="1" outlineLevel="1"/>
    <row r="19" spans="1:27" collapsed="1"/>
    <row r="20" spans="1:27">
      <c r="A20" s="6">
        <v>5</v>
      </c>
      <c r="B20" s="6"/>
      <c r="C20" s="6"/>
    </row>
    <row r="21" spans="1:27" s="272" customFormat="1">
      <c r="A21" s="7"/>
      <c r="B21" s="7"/>
      <c r="C21" s="6"/>
      <c r="D21" s="1"/>
      <c r="E21" s="258"/>
      <c r="F21" s="258"/>
      <c r="G21" s="258"/>
      <c r="H21" s="258"/>
      <c r="I21" s="271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1"/>
      <c r="V21" s="271"/>
      <c r="W21" s="271"/>
      <c r="X21" s="271"/>
      <c r="Y21" s="271"/>
      <c r="Z21" s="271"/>
      <c r="AA21" s="271"/>
    </row>
    <row r="22" spans="1:27">
      <c r="A22" s="6">
        <f>A20</f>
        <v>5</v>
      </c>
      <c r="B22" s="6">
        <f>A22</f>
        <v>5</v>
      </c>
      <c r="C22" s="8">
        <f>P13</f>
        <v>225.22376502804011</v>
      </c>
      <c r="G22" s="273"/>
      <c r="H22" s="273"/>
    </row>
    <row r="23" spans="1:27">
      <c r="A23" s="6">
        <f>A22</f>
        <v>5</v>
      </c>
      <c r="B23" s="6">
        <f>A23*2</f>
        <v>10</v>
      </c>
      <c r="C23" s="8">
        <f>P14</f>
        <v>235.06314068883441</v>
      </c>
      <c r="G23" s="273"/>
      <c r="H23" s="273"/>
    </row>
    <row r="24" spans="1:27">
      <c r="A24" s="6">
        <f>A23</f>
        <v>5</v>
      </c>
      <c r="B24" s="6">
        <f>A24*3</f>
        <v>15</v>
      </c>
      <c r="C24" s="8">
        <f>P15</f>
        <v>246.00907227500696</v>
      </c>
      <c r="G24" s="273"/>
      <c r="H24" s="273"/>
    </row>
    <row r="25" spans="1:27">
      <c r="A25" s="6">
        <f>A24</f>
        <v>5</v>
      </c>
      <c r="B25" s="6">
        <f>A25*4</f>
        <v>20</v>
      </c>
      <c r="C25" s="8">
        <f>P16</f>
        <v>258.31691884626025</v>
      </c>
      <c r="G25" s="273"/>
      <c r="H25" s="273"/>
    </row>
    <row r="26" spans="1:27">
      <c r="A26" s="6">
        <f>A25</f>
        <v>5</v>
      </c>
      <c r="B26" s="6">
        <f>A26*5</f>
        <v>25</v>
      </c>
      <c r="C26" s="8">
        <f>P17</f>
        <v>272.3271591488645</v>
      </c>
      <c r="G26" s="273"/>
      <c r="H26" s="273"/>
    </row>
    <row r="27" spans="1:27">
      <c r="A27" s="6">
        <f>A22*2</f>
        <v>10</v>
      </c>
      <c r="B27" s="6">
        <f>B22</f>
        <v>5</v>
      </c>
      <c r="C27" s="8">
        <f>Q13</f>
        <v>236.77531168148056</v>
      </c>
      <c r="G27" s="273"/>
      <c r="H27" s="273"/>
    </row>
    <row r="28" spans="1:27">
      <c r="A28" s="6">
        <f t="shared" ref="A28:A31" si="0">A23*2</f>
        <v>10</v>
      </c>
      <c r="B28" s="6">
        <f t="shared" ref="B28:B46" si="1">B23</f>
        <v>10</v>
      </c>
      <c r="C28" s="8">
        <f>Q14</f>
        <v>249.50818155255408</v>
      </c>
      <c r="G28" s="273"/>
      <c r="H28" s="273"/>
    </row>
    <row r="29" spans="1:27">
      <c r="A29" s="6">
        <f t="shared" si="0"/>
        <v>10</v>
      </c>
      <c r="B29" s="6">
        <f t="shared" si="1"/>
        <v>15</v>
      </c>
      <c r="C29" s="8">
        <f>Q15</f>
        <v>263.78232574826137</v>
      </c>
      <c r="G29" s="273"/>
      <c r="H29" s="273"/>
    </row>
    <row r="30" spans="1:27">
      <c r="A30" s="6">
        <f t="shared" si="0"/>
        <v>10</v>
      </c>
      <c r="B30" s="6">
        <f t="shared" si="1"/>
        <v>20</v>
      </c>
      <c r="C30" s="8">
        <f>Q16</f>
        <v>279.95342295890259</v>
      </c>
      <c r="G30" s="273"/>
      <c r="H30" s="273"/>
    </row>
    <row r="31" spans="1:27">
      <c r="A31" s="6">
        <f t="shared" si="0"/>
        <v>10</v>
      </c>
      <c r="B31" s="6">
        <f t="shared" si="1"/>
        <v>25</v>
      </c>
      <c r="C31" s="8">
        <f>Q17</f>
        <v>298.49571143821146</v>
      </c>
      <c r="G31" s="273"/>
      <c r="H31" s="273"/>
    </row>
    <row r="32" spans="1:27">
      <c r="A32" s="6">
        <f>A22*3</f>
        <v>15</v>
      </c>
      <c r="B32" s="6">
        <f t="shared" si="1"/>
        <v>5</v>
      </c>
      <c r="C32" s="8">
        <f>R13</f>
        <v>246.78665211446193</v>
      </c>
      <c r="G32" s="273"/>
      <c r="H32" s="273"/>
    </row>
    <row r="33" spans="1:8">
      <c r="A33" s="6">
        <f t="shared" ref="A33:A36" si="2">A23*3</f>
        <v>15</v>
      </c>
      <c r="B33" s="6">
        <f t="shared" si="1"/>
        <v>10</v>
      </c>
      <c r="C33" s="8">
        <f>R14</f>
        <v>262.02721696777741</v>
      </c>
      <c r="G33" s="273"/>
      <c r="H33" s="273"/>
    </row>
    <row r="34" spans="1:8">
      <c r="A34" s="6">
        <f t="shared" si="2"/>
        <v>15</v>
      </c>
      <c r="B34" s="6">
        <f t="shared" si="1"/>
        <v>15</v>
      </c>
      <c r="C34" s="8">
        <f>R15</f>
        <v>279.18581209174852</v>
      </c>
      <c r="G34" s="273"/>
      <c r="H34" s="273"/>
    </row>
    <row r="35" spans="1:8">
      <c r="A35" s="6">
        <f t="shared" si="2"/>
        <v>15</v>
      </c>
      <c r="B35" s="6">
        <f t="shared" si="1"/>
        <v>20</v>
      </c>
      <c r="C35" s="8">
        <f>R16</f>
        <v>298.70505985652613</v>
      </c>
      <c r="G35" s="273"/>
      <c r="H35" s="273"/>
    </row>
    <row r="36" spans="1:8">
      <c r="A36" s="6">
        <f t="shared" si="2"/>
        <v>15</v>
      </c>
      <c r="B36" s="6">
        <f t="shared" si="1"/>
        <v>25</v>
      </c>
      <c r="C36" s="8">
        <f>R17</f>
        <v>321.17512342231208</v>
      </c>
      <c r="G36" s="273"/>
      <c r="H36" s="273"/>
    </row>
    <row r="37" spans="1:8">
      <c r="A37" s="6">
        <f>A22*4</f>
        <v>20</v>
      </c>
      <c r="B37" s="6">
        <f t="shared" si="1"/>
        <v>5</v>
      </c>
      <c r="C37" s="8">
        <f>S13</f>
        <v>255.5465749933208</v>
      </c>
      <c r="G37" s="273"/>
      <c r="H37" s="273"/>
    </row>
    <row r="38" spans="1:8">
      <c r="A38" s="6">
        <f t="shared" ref="A38:A41" si="3">A23*4</f>
        <v>20</v>
      </c>
      <c r="B38" s="6">
        <f t="shared" si="1"/>
        <v>10</v>
      </c>
      <c r="C38" s="8">
        <f>S14</f>
        <v>272.98137295609814</v>
      </c>
      <c r="G38" s="273"/>
      <c r="H38" s="273"/>
    </row>
    <row r="39" spans="1:8">
      <c r="A39" s="6">
        <f t="shared" si="3"/>
        <v>20</v>
      </c>
      <c r="B39" s="6">
        <f t="shared" si="1"/>
        <v>15</v>
      </c>
      <c r="C39" s="8">
        <f>S15</f>
        <v>292.66386264229965</v>
      </c>
      <c r="G39" s="273"/>
      <c r="H39" s="273"/>
    </row>
    <row r="40" spans="1:8">
      <c r="A40" s="6">
        <f t="shared" si="3"/>
        <v>20</v>
      </c>
      <c r="B40" s="6">
        <f t="shared" si="1"/>
        <v>20</v>
      </c>
      <c r="C40" s="8">
        <f>S16</f>
        <v>315.11274214194668</v>
      </c>
      <c r="G40" s="273"/>
      <c r="H40" s="273"/>
    </row>
    <row r="41" spans="1:8">
      <c r="A41" s="6">
        <f t="shared" si="3"/>
        <v>20</v>
      </c>
      <c r="B41" s="6">
        <f t="shared" si="1"/>
        <v>25</v>
      </c>
      <c r="C41" s="8">
        <f>S17</f>
        <v>341.01960890840019</v>
      </c>
      <c r="G41" s="273"/>
      <c r="H41" s="273"/>
    </row>
    <row r="42" spans="1:8">
      <c r="A42" s="6">
        <f>A22*5</f>
        <v>25</v>
      </c>
      <c r="B42" s="6">
        <f t="shared" si="1"/>
        <v>5</v>
      </c>
      <c r="C42" s="8">
        <f>T13</f>
        <v>263.27591870996105</v>
      </c>
      <c r="G42" s="273"/>
    </row>
    <row r="43" spans="1:8">
      <c r="A43" s="6">
        <f t="shared" ref="A43:A46" si="4">A23*5</f>
        <v>25</v>
      </c>
      <c r="B43" s="6">
        <f t="shared" si="1"/>
        <v>10</v>
      </c>
      <c r="C43" s="8">
        <f>T14</f>
        <v>282.64680471049871</v>
      </c>
      <c r="G43" s="273"/>
    </row>
    <row r="44" spans="1:8">
      <c r="A44" s="6">
        <f t="shared" si="4"/>
        <v>25</v>
      </c>
      <c r="B44" s="6">
        <f t="shared" si="1"/>
        <v>15</v>
      </c>
      <c r="C44" s="8">
        <f>T15</f>
        <v>304.55626018690373</v>
      </c>
    </row>
    <row r="45" spans="1:8">
      <c r="A45" s="6">
        <f t="shared" si="4"/>
        <v>25</v>
      </c>
      <c r="B45" s="6">
        <f t="shared" si="1"/>
        <v>20</v>
      </c>
      <c r="C45" s="8">
        <f>T16</f>
        <v>329.59010886437653</v>
      </c>
    </row>
    <row r="46" spans="1:8">
      <c r="A46" s="6">
        <f t="shared" si="4"/>
        <v>25</v>
      </c>
      <c r="B46" s="6">
        <f t="shared" si="1"/>
        <v>25</v>
      </c>
      <c r="C46" s="8">
        <f>T17</f>
        <v>358.52944904318383</v>
      </c>
      <c r="G46" s="273"/>
    </row>
    <row r="47" spans="1:8">
      <c r="A47" s="6">
        <f t="shared" ref="A47:A71" si="5">A22</f>
        <v>5</v>
      </c>
      <c r="B47" s="6">
        <f>-B22</f>
        <v>-5</v>
      </c>
      <c r="C47" s="8">
        <f>H13</f>
        <v>178.18015890981607</v>
      </c>
      <c r="G47" s="273"/>
    </row>
    <row r="48" spans="1:8">
      <c r="A48" s="6">
        <f t="shared" si="5"/>
        <v>5</v>
      </c>
      <c r="B48" s="6">
        <f t="shared" ref="B48:B71" si="6">-B23</f>
        <v>-10</v>
      </c>
      <c r="C48" s="8">
        <f>H14</f>
        <v>213.29564664576918</v>
      </c>
    </row>
    <row r="49" spans="1:3">
      <c r="A49" s="6">
        <f t="shared" si="5"/>
        <v>5</v>
      </c>
      <c r="B49" s="6">
        <f t="shared" si="6"/>
        <v>-15</v>
      </c>
      <c r="C49" s="8">
        <f>H15</f>
        <v>246.00907227500696</v>
      </c>
    </row>
    <row r="50" spans="1:3">
      <c r="A50" s="6">
        <f t="shared" si="5"/>
        <v>5</v>
      </c>
      <c r="B50" s="6">
        <f t="shared" si="6"/>
        <v>-20</v>
      </c>
      <c r="C50" s="8">
        <f>H16</f>
        <v>283.526622117675</v>
      </c>
    </row>
    <row r="51" spans="1:3">
      <c r="A51" s="6">
        <f t="shared" si="5"/>
        <v>5</v>
      </c>
      <c r="B51" s="6">
        <f t="shared" si="6"/>
        <v>-25</v>
      </c>
      <c r="C51" s="8">
        <f>H17</f>
        <v>318.64210985362809</v>
      </c>
    </row>
    <row r="52" spans="1:3">
      <c r="A52" s="6">
        <f t="shared" si="5"/>
        <v>10</v>
      </c>
      <c r="B52" s="6">
        <f t="shared" si="6"/>
        <v>-5</v>
      </c>
      <c r="C52" s="8">
        <f>I13</f>
        <v>194.55846721391777</v>
      </c>
    </row>
    <row r="53" spans="1:3">
      <c r="A53" s="6">
        <f t="shared" si="5"/>
        <v>10</v>
      </c>
      <c r="B53" s="6">
        <f t="shared" si="6"/>
        <v>-10</v>
      </c>
      <c r="C53" s="8">
        <f>I14</f>
        <v>230.3961275094691</v>
      </c>
    </row>
    <row r="54" spans="1:3">
      <c r="A54" s="6">
        <f t="shared" si="5"/>
        <v>10</v>
      </c>
      <c r="B54" s="6">
        <f t="shared" si="6"/>
        <v>-15</v>
      </c>
      <c r="C54" s="8">
        <f>I15</f>
        <v>263.78232574826137</v>
      </c>
    </row>
    <row r="55" spans="1:3">
      <c r="A55" s="6">
        <f t="shared" si="5"/>
        <v>10</v>
      </c>
      <c r="B55" s="6">
        <f t="shared" si="6"/>
        <v>-20</v>
      </c>
      <c r="C55" s="8">
        <f>I16</f>
        <v>302.0714481005715</v>
      </c>
    </row>
    <row r="56" spans="1:3">
      <c r="A56" s="6">
        <f t="shared" si="5"/>
        <v>10</v>
      </c>
      <c r="B56" s="6">
        <f t="shared" si="6"/>
        <v>-25</v>
      </c>
      <c r="C56" s="8">
        <f>I17</f>
        <v>337.90910839612292</v>
      </c>
    </row>
    <row r="57" spans="1:3">
      <c r="A57" s="6">
        <f t="shared" si="5"/>
        <v>15</v>
      </c>
      <c r="B57" s="6">
        <f t="shared" si="6"/>
        <v>-5</v>
      </c>
      <c r="C57" s="8">
        <f>J13</f>
        <v>208.75300107747248</v>
      </c>
    </row>
    <row r="58" spans="1:3">
      <c r="A58" s="6">
        <f t="shared" si="5"/>
        <v>15</v>
      </c>
      <c r="B58" s="6">
        <f t="shared" si="6"/>
        <v>-10</v>
      </c>
      <c r="C58" s="8">
        <f>J14</f>
        <v>245.21654425800912</v>
      </c>
    </row>
    <row r="59" spans="1:3">
      <c r="A59" s="6">
        <f t="shared" si="5"/>
        <v>15</v>
      </c>
      <c r="B59" s="6">
        <f t="shared" si="6"/>
        <v>-15</v>
      </c>
      <c r="C59" s="8">
        <f>J15</f>
        <v>279.18581209174852</v>
      </c>
    </row>
    <row r="60" spans="1:3">
      <c r="A60" s="6">
        <f t="shared" si="5"/>
        <v>15</v>
      </c>
      <c r="B60" s="6">
        <f t="shared" si="6"/>
        <v>-20</v>
      </c>
      <c r="C60" s="8">
        <f>J16</f>
        <v>318.14363061908176</v>
      </c>
    </row>
    <row r="61" spans="1:3">
      <c r="A61" s="6">
        <f t="shared" si="5"/>
        <v>15</v>
      </c>
      <c r="B61" s="6">
        <f t="shared" si="6"/>
        <v>-25</v>
      </c>
      <c r="C61" s="8">
        <f>J17</f>
        <v>354.60717379961841</v>
      </c>
    </row>
    <row r="62" spans="1:3">
      <c r="A62" s="6">
        <f t="shared" si="5"/>
        <v>20</v>
      </c>
      <c r="B62" s="6">
        <f t="shared" si="6"/>
        <v>-5</v>
      </c>
      <c r="C62" s="8">
        <f>K13</f>
        <v>221.17321820808294</v>
      </c>
    </row>
    <row r="63" spans="1:3">
      <c r="A63" s="6">
        <f t="shared" si="5"/>
        <v>20</v>
      </c>
      <c r="B63" s="6">
        <f t="shared" si="6"/>
        <v>-10</v>
      </c>
      <c r="C63" s="8">
        <f>K14</f>
        <v>258.18440891298144</v>
      </c>
    </row>
    <row r="64" spans="1:3">
      <c r="A64" s="6">
        <f t="shared" si="5"/>
        <v>20</v>
      </c>
      <c r="B64" s="6">
        <f t="shared" si="6"/>
        <v>-15</v>
      </c>
      <c r="C64" s="8">
        <f>K15</f>
        <v>292.66386264229965</v>
      </c>
    </row>
    <row r="65" spans="1:3">
      <c r="A65" s="6">
        <f t="shared" si="5"/>
        <v>20</v>
      </c>
      <c r="B65" s="6">
        <f t="shared" si="6"/>
        <v>-20</v>
      </c>
      <c r="C65" s="8">
        <f>K16</f>
        <v>332.20679032277826</v>
      </c>
    </row>
    <row r="66" spans="1:3">
      <c r="A66" s="6">
        <f t="shared" si="5"/>
        <v>20</v>
      </c>
      <c r="B66" s="6">
        <f t="shared" si="6"/>
        <v>-25</v>
      </c>
      <c r="C66" s="8">
        <f>K17</f>
        <v>369.21798102767696</v>
      </c>
    </row>
    <row r="67" spans="1:3">
      <c r="A67" s="6">
        <f t="shared" si="5"/>
        <v>25</v>
      </c>
      <c r="B67" s="6">
        <f t="shared" si="6"/>
        <v>-5</v>
      </c>
      <c r="C67" s="8">
        <f>L13</f>
        <v>232.13223332332737</v>
      </c>
    </row>
    <row r="68" spans="1:3">
      <c r="A68" s="6">
        <f t="shared" si="5"/>
        <v>25</v>
      </c>
      <c r="B68" s="6">
        <f t="shared" si="6"/>
        <v>-10</v>
      </c>
      <c r="C68" s="8">
        <f>L14</f>
        <v>269.62664243207485</v>
      </c>
    </row>
    <row r="69" spans="1:3">
      <c r="A69" s="6">
        <f t="shared" si="5"/>
        <v>25</v>
      </c>
      <c r="B69" s="6">
        <f t="shared" si="6"/>
        <v>-15</v>
      </c>
      <c r="C69" s="8">
        <f>L15</f>
        <v>304.55626018690373</v>
      </c>
    </row>
    <row r="70" spans="1:3">
      <c r="A70" s="6">
        <f t="shared" si="5"/>
        <v>25</v>
      </c>
      <c r="B70" s="6">
        <f t="shared" si="6"/>
        <v>-20</v>
      </c>
      <c r="C70" s="8">
        <f>L16</f>
        <v>344.61546064956929</v>
      </c>
    </row>
    <row r="71" spans="1:3">
      <c r="A71" s="6">
        <f t="shared" si="5"/>
        <v>25</v>
      </c>
      <c r="B71" s="6">
        <f t="shared" si="6"/>
        <v>-25</v>
      </c>
      <c r="C71" s="8">
        <f>L17</f>
        <v>382.10986975831679</v>
      </c>
    </row>
    <row r="72" spans="1:3">
      <c r="A72" s="6">
        <f>-A22</f>
        <v>-5</v>
      </c>
      <c r="B72" s="6">
        <f>B22</f>
        <v>5</v>
      </c>
      <c r="C72" s="8">
        <f>L4</f>
        <v>54.219180521776316</v>
      </c>
    </row>
    <row r="73" spans="1:3">
      <c r="A73" s="6">
        <f t="shared" ref="A73:A96" si="7">-A23</f>
        <v>-5</v>
      </c>
      <c r="B73" s="6">
        <f t="shared" ref="B73:B96" si="8">B23</f>
        <v>10</v>
      </c>
      <c r="C73" s="8">
        <f>L5</f>
        <v>83.365535998011595</v>
      </c>
    </row>
    <row r="74" spans="1:3">
      <c r="A74" s="6">
        <f t="shared" si="7"/>
        <v>-5</v>
      </c>
      <c r="B74" s="6">
        <f t="shared" si="8"/>
        <v>15</v>
      </c>
      <c r="C74" s="8">
        <f>L6</f>
        <v>110.51814567852392</v>
      </c>
    </row>
    <row r="75" spans="1:3">
      <c r="A75" s="6">
        <f t="shared" si="7"/>
        <v>-5</v>
      </c>
      <c r="B75" s="6">
        <f t="shared" si="8"/>
        <v>20</v>
      </c>
      <c r="C75" s="8">
        <f>L7</f>
        <v>141.65824695048201</v>
      </c>
    </row>
    <row r="76" spans="1:3">
      <c r="A76" s="6">
        <f t="shared" si="7"/>
        <v>-5</v>
      </c>
      <c r="B76" s="6">
        <f t="shared" si="8"/>
        <v>25</v>
      </c>
      <c r="C76" s="8">
        <f>L8</f>
        <v>170.80460242671739</v>
      </c>
    </row>
    <row r="77" spans="1:3">
      <c r="A77" s="6">
        <f t="shared" si="7"/>
        <v>-10</v>
      </c>
      <c r="B77" s="6">
        <f t="shared" si="8"/>
        <v>5</v>
      </c>
      <c r="C77" s="8">
        <f>K4</f>
        <v>121.37336549882684</v>
      </c>
    </row>
    <row r="78" spans="1:3">
      <c r="A78" s="6">
        <f t="shared" si="7"/>
        <v>-10</v>
      </c>
      <c r="B78" s="6">
        <f t="shared" si="8"/>
        <v>10</v>
      </c>
      <c r="C78" s="8">
        <f>K5</f>
        <v>153.7283642830329</v>
      </c>
    </row>
    <row r="79" spans="1:3">
      <c r="A79" s="6">
        <f t="shared" si="7"/>
        <v>-10</v>
      </c>
      <c r="B79" s="6">
        <f t="shared" si="8"/>
        <v>15</v>
      </c>
      <c r="C79" s="8">
        <f>K6</f>
        <v>183.87013119853299</v>
      </c>
    </row>
    <row r="80" spans="1:3">
      <c r="A80" s="6">
        <f t="shared" si="7"/>
        <v>-10</v>
      </c>
      <c r="B80" s="6">
        <f t="shared" si="8"/>
        <v>20</v>
      </c>
      <c r="C80" s="8">
        <f>K7</f>
        <v>218.4383618514446</v>
      </c>
    </row>
    <row r="81" spans="1:3">
      <c r="A81" s="6">
        <f t="shared" si="7"/>
        <v>-10</v>
      </c>
      <c r="B81" s="6">
        <f t="shared" si="8"/>
        <v>25</v>
      </c>
      <c r="C81" s="8">
        <f>K8</f>
        <v>250.79336063565069</v>
      </c>
    </row>
    <row r="82" spans="1:3">
      <c r="A82" s="6">
        <f t="shared" si="7"/>
        <v>-15</v>
      </c>
      <c r="B82" s="6">
        <f t="shared" si="8"/>
        <v>5</v>
      </c>
      <c r="C82" s="8">
        <f>J4</f>
        <v>208.75300107747248</v>
      </c>
    </row>
    <row r="83" spans="1:3">
      <c r="A83" s="6">
        <f t="shared" si="7"/>
        <v>-15</v>
      </c>
      <c r="B83" s="6">
        <f t="shared" si="8"/>
        <v>10</v>
      </c>
      <c r="C83" s="8">
        <f>J5</f>
        <v>245.21654425800912</v>
      </c>
    </row>
    <row r="84" spans="1:3">
      <c r="A84" s="6">
        <f t="shared" si="7"/>
        <v>-15</v>
      </c>
      <c r="B84" s="6">
        <f t="shared" si="8"/>
        <v>15</v>
      </c>
      <c r="C84" s="8">
        <f>J6</f>
        <v>279.18581209174852</v>
      </c>
    </row>
    <row r="85" spans="1:3">
      <c r="A85" s="6">
        <f t="shared" si="7"/>
        <v>-15</v>
      </c>
      <c r="B85" s="6">
        <f t="shared" si="8"/>
        <v>20</v>
      </c>
      <c r="C85" s="8">
        <f>J7</f>
        <v>318.14363061908176</v>
      </c>
    </row>
    <row r="86" spans="1:3">
      <c r="A86" s="6">
        <f t="shared" si="7"/>
        <v>-15</v>
      </c>
      <c r="B86" s="6">
        <f t="shared" si="8"/>
        <v>25</v>
      </c>
      <c r="C86" s="8">
        <f>J8</f>
        <v>354.60717379961841</v>
      </c>
    </row>
    <row r="87" spans="1:3">
      <c r="A87" s="6">
        <f t="shared" si="7"/>
        <v>-20</v>
      </c>
      <c r="B87" s="6">
        <f t="shared" si="8"/>
        <v>5</v>
      </c>
      <c r="C87" s="8">
        <f>I4</f>
        <v>326.52777068363304</v>
      </c>
    </row>
    <row r="88" spans="1:3">
      <c r="A88" s="6">
        <f t="shared" si="7"/>
        <v>-20</v>
      </c>
      <c r="B88" s="6">
        <f t="shared" si="8"/>
        <v>10</v>
      </c>
      <c r="C88" s="8">
        <f>I5</f>
        <v>368.44855798230287</v>
      </c>
    </row>
    <row r="89" spans="1:3">
      <c r="A89" s="6">
        <f t="shared" si="7"/>
        <v>-20</v>
      </c>
      <c r="B89" s="6">
        <f t="shared" si="8"/>
        <v>15</v>
      </c>
      <c r="C89" s="8">
        <f>I6</f>
        <v>407.5017691444545</v>
      </c>
    </row>
    <row r="90" spans="1:3">
      <c r="A90" s="6">
        <f t="shared" si="7"/>
        <v>-20</v>
      </c>
      <c r="B90" s="6">
        <f t="shared" si="8"/>
        <v>20</v>
      </c>
      <c r="C90" s="8">
        <f>I7</f>
        <v>452.29013257964186</v>
      </c>
    </row>
    <row r="91" spans="1:3">
      <c r="A91" s="6">
        <f t="shared" si="7"/>
        <v>-20</v>
      </c>
      <c r="B91" s="6">
        <f t="shared" si="8"/>
        <v>25</v>
      </c>
      <c r="C91" s="8">
        <f>I8</f>
        <v>494.21091987831181</v>
      </c>
    </row>
    <row r="92" spans="1:3">
      <c r="A92" s="6">
        <f t="shared" si="7"/>
        <v>-25</v>
      </c>
      <c r="B92" s="6">
        <f t="shared" si="8"/>
        <v>5</v>
      </c>
      <c r="C92" s="8">
        <f>H4</f>
        <v>493.00736373004423</v>
      </c>
    </row>
    <row r="93" spans="1:3">
      <c r="A93" s="6">
        <f t="shared" si="7"/>
        <v>-25</v>
      </c>
      <c r="B93" s="6">
        <f t="shared" si="8"/>
        <v>10</v>
      </c>
      <c r="C93" s="8">
        <f>H5</f>
        <v>542.5418357939152</v>
      </c>
    </row>
    <row r="94" spans="1:3">
      <c r="A94" s="6">
        <f t="shared" si="7"/>
        <v>-25</v>
      </c>
      <c r="B94" s="6">
        <f t="shared" si="8"/>
        <v>15</v>
      </c>
      <c r="C94" s="8">
        <f>H6</f>
        <v>588.6879203970891</v>
      </c>
    </row>
    <row r="95" spans="1:3">
      <c r="A95" s="6">
        <f t="shared" si="7"/>
        <v>-25</v>
      </c>
      <c r="B95" s="6">
        <f t="shared" si="8"/>
        <v>20</v>
      </c>
      <c r="C95" s="8">
        <f>H7</f>
        <v>641.61077992165701</v>
      </c>
    </row>
    <row r="96" spans="1:3">
      <c r="A96" s="6">
        <f t="shared" si="7"/>
        <v>-25</v>
      </c>
      <c r="B96" s="6">
        <f t="shared" si="8"/>
        <v>25</v>
      </c>
      <c r="C96" s="8">
        <f>H8</f>
        <v>691.14525198552803</v>
      </c>
    </row>
    <row r="97" spans="1:3">
      <c r="A97" s="6">
        <f>A72</f>
        <v>-5</v>
      </c>
      <c r="B97" s="6">
        <f>B47</f>
        <v>-5</v>
      </c>
      <c r="C97" s="8">
        <f>T4</f>
        <v>98.761139268380006</v>
      </c>
    </row>
    <row r="98" spans="1:3">
      <c r="A98" s="6">
        <f t="shared" ref="A98:A121" si="9">A73</f>
        <v>-5</v>
      </c>
      <c r="B98" s="6">
        <f t="shared" ref="B98:B121" si="10">B48</f>
        <v>-10</v>
      </c>
      <c r="C98" s="8">
        <f>T5</f>
        <v>104.41836637012975</v>
      </c>
    </row>
    <row r="99" spans="1:3">
      <c r="A99" s="6">
        <f t="shared" si="9"/>
        <v>-5</v>
      </c>
      <c r="B99" s="6">
        <f t="shared" si="10"/>
        <v>-15</v>
      </c>
      <c r="C99" s="8">
        <f>T6</f>
        <v>110.51814567852392</v>
      </c>
    </row>
    <row r="100" spans="1:3">
      <c r="A100" s="6">
        <f t="shared" si="9"/>
        <v>-5</v>
      </c>
      <c r="B100" s="6">
        <f t="shared" si="10"/>
        <v>-20</v>
      </c>
      <c r="C100" s="8">
        <f>T7</f>
        <v>117.13857464179361</v>
      </c>
    </row>
    <row r="101" spans="1:3">
      <c r="A101" s="6">
        <f t="shared" si="9"/>
        <v>-5</v>
      </c>
      <c r="B101" s="6">
        <f t="shared" si="10"/>
        <v>-25</v>
      </c>
      <c r="C101" s="8">
        <f>T8</f>
        <v>124.37727507022827</v>
      </c>
    </row>
    <row r="102" spans="1:3">
      <c r="A102" s="6">
        <f t="shared" si="9"/>
        <v>-10</v>
      </c>
      <c r="B102" s="6">
        <f t="shared" si="10"/>
        <v>-5</v>
      </c>
      <c r="C102" s="8">
        <f>S4</f>
        <v>164.12082960016608</v>
      </c>
    </row>
    <row r="103" spans="1:3">
      <c r="A103" s="6">
        <f t="shared" si="9"/>
        <v>-10</v>
      </c>
      <c r="B103" s="6">
        <f t="shared" si="10"/>
        <v>-10</v>
      </c>
      <c r="C103" s="8">
        <f>S5</f>
        <v>173.51712361322984</v>
      </c>
    </row>
    <row r="104" spans="1:3">
      <c r="A104" s="6">
        <f t="shared" si="9"/>
        <v>-10</v>
      </c>
      <c r="B104" s="6">
        <f t="shared" si="10"/>
        <v>-15</v>
      </c>
      <c r="C104" s="8">
        <f>S6</f>
        <v>183.87013119853299</v>
      </c>
    </row>
    <row r="105" spans="1:3">
      <c r="A105" s="6">
        <f t="shared" si="9"/>
        <v>-10</v>
      </c>
      <c r="B105" s="6">
        <f t="shared" si="10"/>
        <v>-20</v>
      </c>
      <c r="C105" s="8">
        <f>S7</f>
        <v>195.37119507052296</v>
      </c>
    </row>
    <row r="106" spans="1:3">
      <c r="A106" s="6">
        <f t="shared" si="9"/>
        <v>-10</v>
      </c>
      <c r="B106" s="6">
        <f t="shared" si="10"/>
        <v>-25</v>
      </c>
      <c r="C106" s="8">
        <f>S8</f>
        <v>208.26632729063323</v>
      </c>
    </row>
    <row r="107" spans="1:3">
      <c r="A107" s="6">
        <f t="shared" si="9"/>
        <v>-15</v>
      </c>
      <c r="B107" s="6">
        <f t="shared" si="10"/>
        <v>-5</v>
      </c>
      <c r="C107" s="8">
        <f>R4</f>
        <v>246.78665211446193</v>
      </c>
    </row>
    <row r="108" spans="1:3">
      <c r="A108" s="6">
        <f t="shared" si="9"/>
        <v>-15</v>
      </c>
      <c r="B108" s="6">
        <f t="shared" si="10"/>
        <v>-10</v>
      </c>
      <c r="C108" s="8">
        <f>R5</f>
        <v>262.02721696777741</v>
      </c>
    </row>
    <row r="109" spans="1:3">
      <c r="A109" s="6">
        <f t="shared" si="9"/>
        <v>-15</v>
      </c>
      <c r="B109" s="6">
        <f t="shared" si="10"/>
        <v>-15</v>
      </c>
      <c r="C109" s="8">
        <f>R6</f>
        <v>279.18581209174852</v>
      </c>
    </row>
    <row r="110" spans="1:3">
      <c r="A110" s="6">
        <f t="shared" si="9"/>
        <v>-15</v>
      </c>
      <c r="B110" s="6">
        <f t="shared" si="10"/>
        <v>-20</v>
      </c>
      <c r="C110" s="8">
        <f>R7</f>
        <v>298.70505985652613</v>
      </c>
    </row>
    <row r="111" spans="1:3">
      <c r="A111" s="6">
        <f t="shared" si="9"/>
        <v>-15</v>
      </c>
      <c r="B111" s="6">
        <f t="shared" si="10"/>
        <v>-25</v>
      </c>
      <c r="C111" s="8">
        <f>R8</f>
        <v>321.17512342231208</v>
      </c>
    </row>
    <row r="112" spans="1:3">
      <c r="A112" s="6">
        <f t="shared" si="9"/>
        <v>-20</v>
      </c>
      <c r="B112" s="6">
        <f t="shared" si="10"/>
        <v>-5</v>
      </c>
      <c r="C112" s="8">
        <f>Q4</f>
        <v>354.22835742946262</v>
      </c>
    </row>
    <row r="113" spans="1:3">
      <c r="A113" s="6">
        <f t="shared" si="9"/>
        <v>-20</v>
      </c>
      <c r="B113" s="6">
        <f t="shared" si="10"/>
        <v>-10</v>
      </c>
      <c r="C113" s="8">
        <f>Q5</f>
        <v>378.96145255130062</v>
      </c>
    </row>
    <row r="114" spans="1:3">
      <c r="A114" s="6">
        <f t="shared" si="9"/>
        <v>-20</v>
      </c>
      <c r="B114" s="6">
        <f t="shared" si="10"/>
        <v>-15</v>
      </c>
      <c r="C114" s="8">
        <f>Q6</f>
        <v>407.5017691444545</v>
      </c>
    </row>
    <row r="115" spans="1:3">
      <c r="A115" s="6">
        <f t="shared" si="9"/>
        <v>-20</v>
      </c>
      <c r="B115" s="6">
        <f t="shared" si="10"/>
        <v>-20</v>
      </c>
      <c r="C115" s="8">
        <f>Q7</f>
        <v>440.88764033746486</v>
      </c>
    </row>
    <row r="116" spans="1:3">
      <c r="A116" s="6">
        <f t="shared" si="9"/>
        <v>-20</v>
      </c>
      <c r="B116" s="6">
        <f t="shared" si="10"/>
        <v>-25</v>
      </c>
      <c r="C116" s="8">
        <f>Q8</f>
        <v>480.57273251028846</v>
      </c>
    </row>
    <row r="117" spans="1:3">
      <c r="A117" s="6">
        <f t="shared" si="9"/>
        <v>-25</v>
      </c>
      <c r="B117" s="6">
        <f t="shared" si="10"/>
        <v>-5</v>
      </c>
      <c r="C117" s="8">
        <f>P4</f>
        <v>498.8994064586563</v>
      </c>
    </row>
    <row r="118" spans="1:3">
      <c r="A118" s="6">
        <f t="shared" si="9"/>
        <v>-25</v>
      </c>
      <c r="B118" s="6">
        <f t="shared" si="10"/>
        <v>-10</v>
      </c>
      <c r="C118" s="8">
        <f>P5</f>
        <v>539.89137155415278</v>
      </c>
    </row>
    <row r="119" spans="1:3">
      <c r="A119" s="6">
        <f t="shared" si="9"/>
        <v>-25</v>
      </c>
      <c r="B119" s="6">
        <f t="shared" si="10"/>
        <v>-15</v>
      </c>
      <c r="C119" s="8">
        <f>P6</f>
        <v>588.6879203970891</v>
      </c>
    </row>
    <row r="120" spans="1:3">
      <c r="A120" s="6">
        <f t="shared" si="9"/>
        <v>-25</v>
      </c>
      <c r="B120" s="6">
        <f t="shared" si="10"/>
        <v>-20</v>
      </c>
      <c r="C120" s="8">
        <f>P7</f>
        <v>647.89058090327796</v>
      </c>
    </row>
    <row r="121" spans="1:3">
      <c r="A121" s="6">
        <f t="shared" si="9"/>
        <v>-25</v>
      </c>
      <c r="B121" s="6">
        <f t="shared" si="10"/>
        <v>-25</v>
      </c>
      <c r="C121" s="8">
        <f>P8</f>
        <v>721.40164494643943</v>
      </c>
    </row>
    <row r="122" spans="1:3">
      <c r="A122" s="6"/>
    </row>
    <row r="123" spans="1:3">
      <c r="A123" s="6"/>
    </row>
    <row r="124" spans="1:3">
      <c r="A124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Input - Balance Sheet</vt:lpstr>
      <vt:lpstr>Input - Income Statement</vt:lpstr>
      <vt:lpstr>Input - etc</vt:lpstr>
      <vt:lpstr>Output - Analysis</vt:lpstr>
      <vt:lpstr>WACC</vt:lpstr>
      <vt:lpstr>Valuation Forecast</vt:lpstr>
      <vt:lpstr>Sensitivity Analysis</vt:lpstr>
      <vt:lpstr>g</vt:lpstr>
      <vt:lpstr>WACC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</dc:creator>
  <cp:lastModifiedBy>Eran</cp:lastModifiedBy>
  <dcterms:created xsi:type="dcterms:W3CDTF">2014-06-07T08:00:40Z</dcterms:created>
  <dcterms:modified xsi:type="dcterms:W3CDTF">2015-04-09T07:40:38Z</dcterms:modified>
</cp:coreProperties>
</file>